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rolyncumello/Documents/OLS WPCA/"/>
    </mc:Choice>
  </mc:AlternateContent>
  <xr:revisionPtr revIDLastSave="0" documentId="8_{FECC94E8-6585-7B4A-991C-0EE0D6A6D043}" xr6:coauthVersionLast="47" xr6:coauthVersionMax="47" xr10:uidLastSave="{00000000-0000-0000-0000-000000000000}"/>
  <bookViews>
    <workbookView xWindow="2980" yWindow="760" windowWidth="26840" windowHeight="14760" xr2:uid="{097108D3-2245-474B-867F-10B9224721E6}"/>
  </bookViews>
  <sheets>
    <sheet name="Summary Sheet" sheetId="1" r:id="rId1"/>
    <sheet name="Shared Bids" sheetId="2" r:id="rId2"/>
    <sheet name="Bid Escalation" sheetId="5" r:id="rId3"/>
    <sheet name="Costs on Shared" sheetId="3" r:id="rId4"/>
    <sheet name="Costs on Internal" sheetId="4" r:id="rId5"/>
    <sheet name="Operating Costs" sheetId="6" r:id="rId6"/>
    <sheet name="Financing Costs" sheetId="8" r:id="rId7"/>
    <sheet name="F&amp;O Comparison" sheetId="7" r:id="rId8"/>
  </sheets>
  <externalReferences>
    <externalReference r:id="rId9"/>
  </externalReferences>
  <definedNames>
    <definedName name="_xlnm.Print_Area" localSheetId="0">'Summary Sheet'!$K$71:$Q$95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7" l="1"/>
  <c r="D49" i="7"/>
  <c r="P8" i="8"/>
  <c r="P7" i="8"/>
  <c r="J8" i="8"/>
  <c r="C8" i="8"/>
  <c r="J7" i="8"/>
  <c r="C7" i="8"/>
  <c r="P84" i="1"/>
  <c r="D52" i="7"/>
  <c r="F17" i="7"/>
  <c r="F51" i="7"/>
  <c r="F50" i="7"/>
  <c r="D23" i="7"/>
  <c r="D29" i="7" s="1"/>
  <c r="B16" i="1"/>
  <c r="E16" i="1"/>
  <c r="D54" i="7" l="1"/>
  <c r="E13" i="6"/>
  <c r="E17" i="6" s="1"/>
  <c r="F13" i="6"/>
  <c r="F17" i="6" s="1"/>
  <c r="D9" i="6"/>
  <c r="D13" i="6" s="1"/>
  <c r="D15" i="6" s="1"/>
  <c r="D17" i="6" s="1"/>
  <c r="H10" i="1"/>
  <c r="E39" i="1"/>
  <c r="F39" i="1" s="1"/>
  <c r="E38" i="1"/>
  <c r="F38" i="1" s="1"/>
  <c r="G10" i="3"/>
  <c r="B39" i="1" s="1"/>
  <c r="C39" i="1" s="1"/>
  <c r="G9" i="3"/>
  <c r="B38" i="1" s="1"/>
  <c r="C38" i="1" s="1"/>
  <c r="D9" i="2"/>
  <c r="D13" i="2" s="1"/>
  <c r="D17" i="2" s="1"/>
  <c r="K57" i="1"/>
  <c r="L57" i="1" s="1"/>
  <c r="F57" i="1"/>
  <c r="K45" i="1"/>
  <c r="L45" i="1" s="1"/>
  <c r="I45" i="1"/>
  <c r="F45" i="1"/>
  <c r="C45" i="1"/>
  <c r="K43" i="1"/>
  <c r="I43" i="1"/>
  <c r="F43" i="1"/>
  <c r="C43" i="1"/>
  <c r="I41" i="1"/>
  <c r="I40" i="1"/>
  <c r="F40" i="1"/>
  <c r="C40" i="1"/>
  <c r="L39" i="1"/>
  <c r="I39" i="1"/>
  <c r="L38" i="1"/>
  <c r="I38" i="1"/>
  <c r="I34" i="1"/>
  <c r="I32" i="1"/>
  <c r="K22" i="1"/>
  <c r="I22" i="1"/>
  <c r="F22" i="1"/>
  <c r="C22" i="1"/>
  <c r="K20" i="1"/>
  <c r="L20" i="1" s="1"/>
  <c r="I20" i="1"/>
  <c r="F20" i="1"/>
  <c r="C20" i="1"/>
  <c r="K18" i="1"/>
  <c r="L18" i="1" s="1"/>
  <c r="I18" i="1"/>
  <c r="F18" i="1"/>
  <c r="C18" i="1"/>
  <c r="K16" i="1"/>
  <c r="L16" i="1" s="1"/>
  <c r="I16" i="1"/>
  <c r="F16" i="1"/>
  <c r="C16" i="1"/>
  <c r="I9" i="1"/>
  <c r="E9" i="1"/>
  <c r="E10" i="1" s="1"/>
  <c r="I7" i="1"/>
  <c r="F7" i="1"/>
  <c r="B59" i="1" l="1"/>
  <c r="D19" i="6"/>
  <c r="D21" i="6" s="1"/>
  <c r="G17" i="6"/>
  <c r="G19" i="6" s="1"/>
  <c r="F19" i="7"/>
  <c r="H59" i="1"/>
  <c r="F19" i="6"/>
  <c r="F21" i="6" s="1"/>
  <c r="E59" i="1"/>
  <c r="E19" i="6"/>
  <c r="E21" i="6" s="1"/>
  <c r="K7" i="1"/>
  <c r="L7" i="1" s="1"/>
  <c r="D21" i="2"/>
  <c r="B7" i="1" s="1"/>
  <c r="L22" i="1"/>
  <c r="E41" i="1"/>
  <c r="F41" i="1" s="1"/>
  <c r="D34" i="7"/>
  <c r="D36" i="7" s="1"/>
  <c r="D38" i="7" s="1"/>
  <c r="D42" i="7" s="1"/>
  <c r="D60" i="7"/>
  <c r="L43" i="1"/>
  <c r="F40" i="7"/>
  <c r="K59" i="1"/>
  <c r="L59" i="1" s="1"/>
  <c r="I10" i="1"/>
  <c r="I59" i="1"/>
  <c r="O86" i="1" s="1"/>
  <c r="K10" i="1"/>
  <c r="L10" i="1" s="1"/>
  <c r="B12" i="1"/>
  <c r="C7" i="1"/>
  <c r="K9" i="1"/>
  <c r="L9" i="1" s="1"/>
  <c r="F9" i="1"/>
  <c r="B41" i="1"/>
  <c r="C41" i="1" s="1"/>
  <c r="H12" i="1"/>
  <c r="E12" i="1"/>
  <c r="E13" i="1" s="1"/>
  <c r="C59" i="1"/>
  <c r="M86" i="1" s="1"/>
  <c r="F10" i="1"/>
  <c r="G21" i="6" l="1"/>
  <c r="F59" i="1"/>
  <c r="N86" i="1" s="1"/>
  <c r="P86" i="1"/>
  <c r="E14" i="1"/>
  <c r="E24" i="1" s="1"/>
  <c r="F13" i="1"/>
  <c r="B13" i="1"/>
  <c r="H13" i="1"/>
  <c r="F49" i="7" s="1"/>
  <c r="C12" i="1"/>
  <c r="K41" i="1"/>
  <c r="L41" i="1" s="1"/>
  <c r="K12" i="1"/>
  <c r="I12" i="1"/>
  <c r="F12" i="1"/>
  <c r="F14" i="1" l="1"/>
  <c r="E26" i="1"/>
  <c r="H14" i="1"/>
  <c r="H24" i="1" s="1"/>
  <c r="F52" i="7" s="1"/>
  <c r="I13" i="1"/>
  <c r="K13" i="1"/>
  <c r="B14" i="1"/>
  <c r="C13" i="1"/>
  <c r="F24" i="1"/>
  <c r="L12" i="1"/>
  <c r="F5" i="7" l="1"/>
  <c r="B24" i="1"/>
  <c r="I24" i="1"/>
  <c r="I14" i="1"/>
  <c r="H26" i="1"/>
  <c r="H28" i="1" s="1"/>
  <c r="F53" i="7" s="1"/>
  <c r="F54" i="7" s="1"/>
  <c r="C14" i="1"/>
  <c r="B26" i="1"/>
  <c r="C26" i="1" s="1"/>
  <c r="L13" i="1"/>
  <c r="K14" i="1"/>
  <c r="E28" i="1"/>
  <c r="F26" i="1"/>
  <c r="C24" i="1" l="1"/>
  <c r="K24" i="1"/>
  <c r="L24" i="1" s="1"/>
  <c r="I26" i="1"/>
  <c r="B28" i="1"/>
  <c r="K28" i="1" s="1"/>
  <c r="L28" i="1" s="1"/>
  <c r="F9" i="7"/>
  <c r="L14" i="1"/>
  <c r="K26" i="1"/>
  <c r="L26" i="1" s="1"/>
  <c r="F34" i="7"/>
  <c r="E30" i="1"/>
  <c r="E47" i="1" s="1"/>
  <c r="F28" i="1"/>
  <c r="I28" i="1"/>
  <c r="H30" i="1"/>
  <c r="H47" i="1" s="1"/>
  <c r="F58" i="7" s="1"/>
  <c r="F60" i="7" l="1"/>
  <c r="C28" i="1"/>
  <c r="B30" i="1"/>
  <c r="B47" i="1" s="1"/>
  <c r="F36" i="7"/>
  <c r="H36" i="1"/>
  <c r="I36" i="1" s="1"/>
  <c r="K30" i="1"/>
  <c r="I30" i="1"/>
  <c r="E32" i="1"/>
  <c r="E34" i="1"/>
  <c r="F30" i="1"/>
  <c r="C30" i="1" l="1"/>
  <c r="B32" i="1"/>
  <c r="C32" i="1" s="1"/>
  <c r="C47" i="1"/>
  <c r="F34" i="1"/>
  <c r="B34" i="1"/>
  <c r="K34" i="1" s="1"/>
  <c r="F27" i="7" s="1"/>
  <c r="K32" i="1"/>
  <c r="F32" i="1"/>
  <c r="L30" i="1"/>
  <c r="I47" i="1"/>
  <c r="H49" i="1"/>
  <c r="O6" i="8" s="1"/>
  <c r="E36" i="1"/>
  <c r="F36" i="1" s="1"/>
  <c r="F47" i="1"/>
  <c r="L32" i="1" l="1"/>
  <c r="F25" i="7"/>
  <c r="R14" i="8"/>
  <c r="P6" i="8"/>
  <c r="K47" i="1"/>
  <c r="L47" i="1" s="1"/>
  <c r="N78" i="1"/>
  <c r="F21" i="7"/>
  <c r="F23" i="7" s="1"/>
  <c r="F29" i="7" s="1"/>
  <c r="F38" i="7" s="1"/>
  <c r="F42" i="7" s="1"/>
  <c r="L34" i="1"/>
  <c r="K36" i="1"/>
  <c r="L36" i="1" s="1"/>
  <c r="E49" i="1"/>
  <c r="I49" i="1"/>
  <c r="O81" i="1" s="1"/>
  <c r="H51" i="1"/>
  <c r="C34" i="1"/>
  <c r="M78" i="1" s="1"/>
  <c r="B36" i="1"/>
  <c r="P78" i="1" l="1"/>
  <c r="E51" i="1"/>
  <c r="I6" i="8"/>
  <c r="O31" i="8"/>
  <c r="O46" i="8"/>
  <c r="O52" i="8"/>
  <c r="O50" i="8"/>
  <c r="O38" i="8"/>
  <c r="O57" i="8"/>
  <c r="O22" i="8"/>
  <c r="O72" i="8"/>
  <c r="P15" i="8"/>
  <c r="O30" i="8"/>
  <c r="O28" i="8"/>
  <c r="O42" i="8"/>
  <c r="O29" i="8"/>
  <c r="O49" i="8"/>
  <c r="O37" i="8"/>
  <c r="O64" i="8"/>
  <c r="O69" i="8"/>
  <c r="O59" i="8"/>
  <c r="O34" i="8"/>
  <c r="O60" i="8"/>
  <c r="O41" i="8"/>
  <c r="O44" i="8"/>
  <c r="O56" i="8"/>
  <c r="O16" i="8"/>
  <c r="O61" i="8"/>
  <c r="O43" i="8"/>
  <c r="O36" i="8"/>
  <c r="O33" i="8"/>
  <c r="O20" i="8"/>
  <c r="O48" i="8"/>
  <c r="O40" i="8"/>
  <c r="O21" i="8"/>
  <c r="O73" i="8"/>
  <c r="O55" i="8"/>
  <c r="O23" i="8"/>
  <c r="O39" i="8"/>
  <c r="O24" i="8"/>
  <c r="O71" i="8"/>
  <c r="O45" i="8"/>
  <c r="O74" i="8"/>
  <c r="O63" i="8"/>
  <c r="O27" i="8"/>
  <c r="O17" i="8"/>
  <c r="O51" i="8"/>
  <c r="O32" i="8"/>
  <c r="O47" i="8"/>
  <c r="O70" i="8"/>
  <c r="O68" i="8"/>
  <c r="O58" i="8"/>
  <c r="O54" i="8"/>
  <c r="O65" i="8"/>
  <c r="O62" i="8"/>
  <c r="O19" i="8"/>
  <c r="O26" i="8"/>
  <c r="O53" i="8"/>
  <c r="O18" i="8"/>
  <c r="O15" i="8"/>
  <c r="O25" i="8"/>
  <c r="O67" i="8"/>
  <c r="O66" i="8"/>
  <c r="O35" i="8"/>
  <c r="F49" i="1"/>
  <c r="N81" i="1" s="1"/>
  <c r="I51" i="1"/>
  <c r="B49" i="1"/>
  <c r="B6" i="8" s="1"/>
  <c r="C36" i="1"/>
  <c r="F51" i="1"/>
  <c r="C6" i="8" l="1"/>
  <c r="E14" i="8"/>
  <c r="J6" i="8"/>
  <c r="L14" i="8"/>
  <c r="Q15" i="8"/>
  <c r="R15" i="8" s="1"/>
  <c r="P16" i="8" s="1"/>
  <c r="Q16" i="8" s="1"/>
  <c r="R16" i="8" s="1"/>
  <c r="P17" i="8" s="1"/>
  <c r="Q17" i="8" s="1"/>
  <c r="R17" i="8" s="1"/>
  <c r="P18" i="8" s="1"/>
  <c r="Q18" i="8" s="1"/>
  <c r="R18" i="8" s="1"/>
  <c r="P19" i="8" s="1"/>
  <c r="P9" i="8"/>
  <c r="O9" i="8"/>
  <c r="Q9" i="8" s="1"/>
  <c r="B51" i="1"/>
  <c r="C49" i="1"/>
  <c r="M81" i="1" s="1"/>
  <c r="P81" i="1" s="1"/>
  <c r="K49" i="1"/>
  <c r="I52" i="8" l="1"/>
  <c r="I71" i="8"/>
  <c r="I36" i="8"/>
  <c r="I122" i="8"/>
  <c r="I66" i="8"/>
  <c r="I88" i="8"/>
  <c r="I251" i="8"/>
  <c r="I103" i="8"/>
  <c r="I81" i="8"/>
  <c r="I150" i="8"/>
  <c r="I91" i="8"/>
  <c r="I37" i="8"/>
  <c r="I69" i="8"/>
  <c r="I99" i="8"/>
  <c r="I235" i="8"/>
  <c r="I244" i="8"/>
  <c r="I228" i="8"/>
  <c r="I185" i="8"/>
  <c r="I170" i="8"/>
  <c r="I162" i="8"/>
  <c r="I218" i="8"/>
  <c r="I213" i="8"/>
  <c r="I243" i="8"/>
  <c r="I233" i="8"/>
  <c r="I211" i="8"/>
  <c r="I105" i="8"/>
  <c r="I121" i="8"/>
  <c r="I28" i="8"/>
  <c r="I47" i="8"/>
  <c r="I76" i="8"/>
  <c r="I100" i="8"/>
  <c r="I45" i="8"/>
  <c r="I127" i="8"/>
  <c r="I240" i="8"/>
  <c r="I168" i="8"/>
  <c r="I195" i="8"/>
  <c r="I205" i="8"/>
  <c r="I113" i="8"/>
  <c r="I73" i="8"/>
  <c r="I23" i="8"/>
  <c r="I44" i="8"/>
  <c r="I63" i="8"/>
  <c r="I54" i="8"/>
  <c r="I38" i="8"/>
  <c r="I181" i="8"/>
  <c r="I74" i="8"/>
  <c r="I90" i="8"/>
  <c r="I174" i="8"/>
  <c r="I19" i="8"/>
  <c r="I51" i="8"/>
  <c r="I111" i="8"/>
  <c r="I87" i="8"/>
  <c r="I32" i="8"/>
  <c r="I64" i="8"/>
  <c r="I172" i="8"/>
  <c r="I183" i="8"/>
  <c r="I115" i="8"/>
  <c r="I202" i="8"/>
  <c r="I119" i="8"/>
  <c r="I242" i="8"/>
  <c r="I226" i="8"/>
  <c r="I177" i="8"/>
  <c r="I169" i="8"/>
  <c r="I161" i="8"/>
  <c r="I210" i="8"/>
  <c r="I208" i="8"/>
  <c r="I227" i="8"/>
  <c r="I184" i="8"/>
  <c r="I206" i="8"/>
  <c r="I109" i="8"/>
  <c r="I129" i="8"/>
  <c r="I57" i="8"/>
  <c r="I18" i="8"/>
  <c r="I120" i="8"/>
  <c r="I241" i="8"/>
  <c r="I223" i="8"/>
  <c r="I224" i="8"/>
  <c r="I160" i="8"/>
  <c r="I203" i="8"/>
  <c r="I182" i="8"/>
  <c r="I137" i="8"/>
  <c r="I143" i="8"/>
  <c r="J15" i="8"/>
  <c r="I46" i="8"/>
  <c r="I92" i="8"/>
  <c r="I123" i="8"/>
  <c r="I215" i="8"/>
  <c r="I192" i="8"/>
  <c r="I189" i="8"/>
  <c r="I39" i="8"/>
  <c r="I229" i="8"/>
  <c r="I31" i="8"/>
  <c r="I128" i="8"/>
  <c r="I33" i="8"/>
  <c r="I65" i="8"/>
  <c r="I55" i="8"/>
  <c r="I138" i="8"/>
  <c r="I68" i="8"/>
  <c r="I34" i="8"/>
  <c r="I80" i="8"/>
  <c r="I112" i="8"/>
  <c r="I75" i="8"/>
  <c r="I126" i="8"/>
  <c r="I62" i="8"/>
  <c r="I21" i="8"/>
  <c r="I53" i="8"/>
  <c r="I106" i="8"/>
  <c r="I139" i="8"/>
  <c r="I214" i="8"/>
  <c r="I252" i="8"/>
  <c r="I236" i="8"/>
  <c r="I220" i="8"/>
  <c r="I201" i="8"/>
  <c r="I166" i="8"/>
  <c r="I158" i="8"/>
  <c r="I179" i="8"/>
  <c r="I197" i="8"/>
  <c r="I173" i="8"/>
  <c r="I147" i="8"/>
  <c r="I188" i="8"/>
  <c r="I124" i="8"/>
  <c r="I125" i="8"/>
  <c r="I15" i="8"/>
  <c r="I22" i="8"/>
  <c r="I26" i="8"/>
  <c r="I104" i="8"/>
  <c r="I27" i="8"/>
  <c r="I136" i="8"/>
  <c r="I40" i="8"/>
  <c r="I191" i="8"/>
  <c r="I96" i="8"/>
  <c r="I209" i="8"/>
  <c r="I254" i="8"/>
  <c r="I222" i="8"/>
  <c r="I167" i="8"/>
  <c r="I187" i="8"/>
  <c r="I175" i="8"/>
  <c r="I190" i="8"/>
  <c r="I108" i="8"/>
  <c r="I131" i="8"/>
  <c r="I159" i="8"/>
  <c r="I116" i="8"/>
  <c r="I24" i="8"/>
  <c r="I217" i="8"/>
  <c r="I155" i="8"/>
  <c r="I41" i="8"/>
  <c r="I110" i="8"/>
  <c r="I42" i="8"/>
  <c r="I118" i="8"/>
  <c r="I35" i="8"/>
  <c r="I48" i="8"/>
  <c r="I77" i="8"/>
  <c r="I114" i="8"/>
  <c r="I219" i="8"/>
  <c r="I250" i="8"/>
  <c r="I212" i="8"/>
  <c r="I165" i="8"/>
  <c r="I171" i="8"/>
  <c r="I154" i="8"/>
  <c r="I94" i="8"/>
  <c r="I196" i="8"/>
  <c r="I149" i="8"/>
  <c r="I70" i="8"/>
  <c r="I135" i="8"/>
  <c r="I207" i="8"/>
  <c r="I180" i="8"/>
  <c r="I86" i="8"/>
  <c r="I253" i="8"/>
  <c r="I49" i="8"/>
  <c r="I102" i="8"/>
  <c r="I50" i="8"/>
  <c r="I134" i="8"/>
  <c r="I79" i="8"/>
  <c r="I61" i="8"/>
  <c r="I130" i="8"/>
  <c r="I225" i="8"/>
  <c r="I248" i="8"/>
  <c r="I204" i="8"/>
  <c r="I164" i="8"/>
  <c r="I237" i="8"/>
  <c r="I146" i="8"/>
  <c r="I200" i="8"/>
  <c r="I148" i="8"/>
  <c r="I17" i="8"/>
  <c r="I58" i="8"/>
  <c r="I144" i="8"/>
  <c r="I43" i="8"/>
  <c r="I56" i="8"/>
  <c r="I85" i="8"/>
  <c r="I95" i="8"/>
  <c r="I246" i="8"/>
  <c r="I193" i="8"/>
  <c r="I163" i="8"/>
  <c r="I221" i="8"/>
  <c r="I249" i="8"/>
  <c r="I101" i="8"/>
  <c r="I245" i="8"/>
  <c r="I20" i="8"/>
  <c r="I78" i="8"/>
  <c r="I59" i="8"/>
  <c r="I72" i="8"/>
  <c r="I238" i="8"/>
  <c r="I199" i="8"/>
  <c r="I151" i="8"/>
  <c r="I93" i="8"/>
  <c r="I152" i="8"/>
  <c r="I98" i="8"/>
  <c r="I178" i="8"/>
  <c r="I25" i="8"/>
  <c r="I82" i="8"/>
  <c r="I83" i="8"/>
  <c r="I67" i="8"/>
  <c r="I198" i="8"/>
  <c r="I117" i="8"/>
  <c r="I176" i="8"/>
  <c r="I234" i="8"/>
  <c r="I194" i="8"/>
  <c r="I157" i="8"/>
  <c r="I153" i="8"/>
  <c r="I247" i="8"/>
  <c r="I132" i="8"/>
  <c r="I239" i="8"/>
  <c r="I60" i="8"/>
  <c r="I141" i="8"/>
  <c r="I107" i="8"/>
  <c r="I84" i="8"/>
  <c r="I89" i="8"/>
  <c r="I16" i="8"/>
  <c r="I133" i="8"/>
  <c r="I29" i="8"/>
  <c r="I232" i="8"/>
  <c r="I186" i="8"/>
  <c r="I156" i="8"/>
  <c r="I145" i="8"/>
  <c r="I231" i="8"/>
  <c r="I140" i="8"/>
  <c r="I30" i="8"/>
  <c r="I97" i="8"/>
  <c r="I142" i="8"/>
  <c r="I230" i="8"/>
  <c r="I216" i="8"/>
  <c r="B44" i="8"/>
  <c r="B73" i="8"/>
  <c r="B54" i="8"/>
  <c r="B67" i="8"/>
  <c r="B27" i="8"/>
  <c r="B97" i="8"/>
  <c r="B15" i="8"/>
  <c r="B30" i="8"/>
  <c r="B145" i="8"/>
  <c r="B169" i="8"/>
  <c r="B48" i="8"/>
  <c r="B29" i="8"/>
  <c r="B61" i="8"/>
  <c r="B88" i="8"/>
  <c r="B100" i="8"/>
  <c r="B210" i="8"/>
  <c r="B155" i="8"/>
  <c r="B253" i="8"/>
  <c r="B245" i="8"/>
  <c r="B237" i="8"/>
  <c r="B229" i="8"/>
  <c r="B221" i="8"/>
  <c r="B211" i="8"/>
  <c r="B199" i="8"/>
  <c r="B164" i="8"/>
  <c r="B141" i="8"/>
  <c r="B133" i="8"/>
  <c r="B125" i="8"/>
  <c r="B117" i="8"/>
  <c r="B109" i="8"/>
  <c r="B101" i="8"/>
  <c r="B143" i="8"/>
  <c r="B166" i="8"/>
  <c r="B63" i="8"/>
  <c r="B24" i="8"/>
  <c r="B56" i="8"/>
  <c r="B184" i="8"/>
  <c r="B92" i="8"/>
  <c r="B251" i="8"/>
  <c r="B227" i="8"/>
  <c r="B198" i="8"/>
  <c r="B139" i="8"/>
  <c r="B131" i="8"/>
  <c r="B107" i="8"/>
  <c r="B204" i="8"/>
  <c r="B33" i="8"/>
  <c r="B152" i="8"/>
  <c r="B20" i="8"/>
  <c r="B176" i="8"/>
  <c r="B19" i="8"/>
  <c r="B71" i="8"/>
  <c r="B17" i="8"/>
  <c r="B42" i="8"/>
  <c r="B74" i="8"/>
  <c r="B90" i="8"/>
  <c r="B215" i="8"/>
  <c r="B168" i="8"/>
  <c r="B252" i="8"/>
  <c r="B244" i="8"/>
  <c r="B236" i="8"/>
  <c r="B228" i="8"/>
  <c r="B216" i="8"/>
  <c r="B203" i="8"/>
  <c r="B191" i="8"/>
  <c r="B160" i="8"/>
  <c r="B140" i="8"/>
  <c r="B132" i="8"/>
  <c r="B124" i="8"/>
  <c r="B116" i="8"/>
  <c r="B108" i="8"/>
  <c r="B201" i="8"/>
  <c r="B209" i="8"/>
  <c r="B186" i="8"/>
  <c r="B93" i="8"/>
  <c r="B38" i="8"/>
  <c r="B207" i="8"/>
  <c r="B69" i="8"/>
  <c r="B76" i="8"/>
  <c r="B220" i="8"/>
  <c r="B171" i="8"/>
  <c r="B243" i="8"/>
  <c r="B208" i="8"/>
  <c r="B156" i="8"/>
  <c r="B123" i="8"/>
  <c r="B179" i="8"/>
  <c r="B212" i="8"/>
  <c r="B163" i="8"/>
  <c r="B62" i="8"/>
  <c r="B22" i="8"/>
  <c r="B87" i="8"/>
  <c r="B37" i="8"/>
  <c r="B235" i="8"/>
  <c r="B183" i="8"/>
  <c r="B115" i="8"/>
  <c r="B36" i="8"/>
  <c r="B52" i="8"/>
  <c r="B95" i="8"/>
  <c r="B21" i="8"/>
  <c r="B217" i="8"/>
  <c r="B47" i="8"/>
  <c r="B32" i="8"/>
  <c r="B64" i="8"/>
  <c r="B154" i="8"/>
  <c r="B45" i="8"/>
  <c r="B94" i="8"/>
  <c r="B80" i="8"/>
  <c r="B159" i="8"/>
  <c r="B25" i="8"/>
  <c r="B85" i="8"/>
  <c r="B55" i="8"/>
  <c r="B50" i="8"/>
  <c r="B180" i="8"/>
  <c r="B247" i="8"/>
  <c r="B233" i="8"/>
  <c r="B222" i="8"/>
  <c r="B174" i="8"/>
  <c r="B149" i="8"/>
  <c r="B135" i="8"/>
  <c r="B121" i="8"/>
  <c r="B110" i="8"/>
  <c r="B161" i="8"/>
  <c r="B144" i="8"/>
  <c r="B75" i="8"/>
  <c r="B226" i="8"/>
  <c r="B142" i="8"/>
  <c r="B103" i="8"/>
  <c r="B224" i="8"/>
  <c r="B112" i="8"/>
  <c r="C15" i="8"/>
  <c r="B248" i="8"/>
  <c r="B167" i="8"/>
  <c r="B28" i="8"/>
  <c r="B65" i="8"/>
  <c r="B59" i="8"/>
  <c r="B39" i="8"/>
  <c r="B158" i="8"/>
  <c r="B58" i="8"/>
  <c r="B246" i="8"/>
  <c r="B232" i="8"/>
  <c r="B197" i="8"/>
  <c r="B214" i="8"/>
  <c r="B172" i="8"/>
  <c r="B134" i="8"/>
  <c r="B120" i="8"/>
  <c r="B106" i="8"/>
  <c r="B157" i="8"/>
  <c r="B146" i="8"/>
  <c r="B49" i="8"/>
  <c r="B18" i="8"/>
  <c r="B240" i="8"/>
  <c r="B196" i="8"/>
  <c r="B128" i="8"/>
  <c r="B187" i="8"/>
  <c r="B192" i="8"/>
  <c r="B177" i="8"/>
  <c r="B57" i="8"/>
  <c r="B147" i="8"/>
  <c r="B205" i="8"/>
  <c r="B234" i="8"/>
  <c r="B70" i="8"/>
  <c r="B83" i="8"/>
  <c r="B43" i="8"/>
  <c r="B31" i="8"/>
  <c r="B40" i="8"/>
  <c r="B218" i="8"/>
  <c r="B53" i="8"/>
  <c r="B99" i="8"/>
  <c r="B242" i="8"/>
  <c r="B231" i="8"/>
  <c r="B189" i="8"/>
  <c r="B206" i="8"/>
  <c r="B170" i="8"/>
  <c r="B130" i="8"/>
  <c r="B119" i="8"/>
  <c r="B105" i="8"/>
  <c r="B151" i="8"/>
  <c r="B148" i="8"/>
  <c r="B41" i="8"/>
  <c r="B195" i="8"/>
  <c r="B35" i="8"/>
  <c r="B23" i="8"/>
  <c r="B193" i="8"/>
  <c r="B66" i="8"/>
  <c r="B96" i="8"/>
  <c r="B241" i="8"/>
  <c r="B230" i="8"/>
  <c r="B181" i="8"/>
  <c r="B175" i="8"/>
  <c r="B150" i="8"/>
  <c r="B129" i="8"/>
  <c r="B118" i="8"/>
  <c r="B104" i="8"/>
  <c r="B202" i="8"/>
  <c r="B16" i="8"/>
  <c r="B46" i="8"/>
  <c r="B60" i="8"/>
  <c r="B78" i="8"/>
  <c r="B254" i="8"/>
  <c r="B173" i="8"/>
  <c r="B114" i="8"/>
  <c r="B238" i="8"/>
  <c r="B137" i="8"/>
  <c r="B86" i="8"/>
  <c r="B153" i="8"/>
  <c r="B79" i="8"/>
  <c r="B81" i="8"/>
  <c r="B51" i="8"/>
  <c r="B68" i="8"/>
  <c r="B77" i="8"/>
  <c r="B26" i="8"/>
  <c r="B82" i="8"/>
  <c r="B162" i="8"/>
  <c r="B250" i="8"/>
  <c r="B239" i="8"/>
  <c r="B225" i="8"/>
  <c r="B219" i="8"/>
  <c r="B194" i="8"/>
  <c r="B138" i="8"/>
  <c r="B127" i="8"/>
  <c r="B113" i="8"/>
  <c r="B102" i="8"/>
  <c r="B185" i="8"/>
  <c r="B188" i="8"/>
  <c r="B213" i="8"/>
  <c r="B89" i="8"/>
  <c r="B72" i="8"/>
  <c r="B84" i="8"/>
  <c r="B178" i="8"/>
  <c r="B200" i="8"/>
  <c r="B249" i="8"/>
  <c r="B190" i="8"/>
  <c r="B126" i="8"/>
  <c r="B91" i="8"/>
  <c r="B34" i="8"/>
  <c r="B223" i="8"/>
  <c r="B182" i="8"/>
  <c r="B136" i="8"/>
  <c r="B122" i="8"/>
  <c r="B111" i="8"/>
  <c r="B165" i="8"/>
  <c r="B98" i="8"/>
  <c r="K51" i="1"/>
  <c r="L51" i="1" s="1"/>
  <c r="L49" i="1"/>
  <c r="C51" i="1"/>
  <c r="E52" i="1"/>
  <c r="D15" i="8" l="1"/>
  <c r="E15" i="8" s="1"/>
  <c r="C16" i="8" s="1"/>
  <c r="C9" i="8"/>
  <c r="B9" i="8"/>
  <c r="D9" i="8" s="1"/>
  <c r="D16" i="8"/>
  <c r="E16" i="8" s="1"/>
  <c r="C17" i="8" s="1"/>
  <c r="D17" i="8" s="1"/>
  <c r="E17" i="8" s="1"/>
  <c r="C18" i="8" s="1"/>
  <c r="D18" i="8" s="1"/>
  <c r="E18" i="8" s="1"/>
  <c r="C19" i="8" s="1"/>
  <c r="D19" i="8" s="1"/>
  <c r="E19" i="8" s="1"/>
  <c r="C20" i="8" s="1"/>
  <c r="D20" i="8" s="1"/>
  <c r="E20" i="8" s="1"/>
  <c r="C21" i="8" s="1"/>
  <c r="D21" i="8" s="1"/>
  <c r="E21" i="8" s="1"/>
  <c r="C22" i="8" s="1"/>
  <c r="D22" i="8" s="1"/>
  <c r="E22" i="8" s="1"/>
  <c r="C23" i="8" s="1"/>
  <c r="D23" i="8" s="1"/>
  <c r="E23" i="8" s="1"/>
  <c r="J9" i="8"/>
  <c r="K15" i="8"/>
  <c r="L15" i="8" s="1"/>
  <c r="J16" i="8" s="1"/>
  <c r="K16" i="8" s="1"/>
  <c r="L16" i="8" s="1"/>
  <c r="J17" i="8" s="1"/>
  <c r="K17" i="8" s="1"/>
  <c r="L17" i="8" s="1"/>
  <c r="J18" i="8" s="1"/>
  <c r="K18" i="8" s="1"/>
  <c r="L18" i="8" s="1"/>
  <c r="J19" i="8" s="1"/>
  <c r="K19" i="8" s="1"/>
  <c r="L19" i="8" s="1"/>
  <c r="J20" i="8" s="1"/>
  <c r="K20" i="8" s="1"/>
  <c r="L20" i="8" s="1"/>
  <c r="J21" i="8" s="1"/>
  <c r="K21" i="8" s="1"/>
  <c r="L21" i="8" s="1"/>
  <c r="J22" i="8" s="1"/>
  <c r="K22" i="8" s="1"/>
  <c r="L22" i="8" s="1"/>
  <c r="J23" i="8" s="1"/>
  <c r="K23" i="8" s="1"/>
  <c r="L23" i="8" s="1"/>
  <c r="I9" i="8"/>
  <c r="K9" i="8" s="1"/>
  <c r="J24" i="8" l="1"/>
  <c r="K24" i="8" s="1"/>
  <c r="L24" i="8"/>
  <c r="J25" i="8" s="1"/>
  <c r="K25" i="8" s="1"/>
  <c r="L25" i="8" s="1"/>
  <c r="J26" i="8"/>
  <c r="K26" i="8" s="1"/>
  <c r="L26" i="8" s="1"/>
  <c r="C24" i="8"/>
  <c r="D24" i="8" s="1"/>
  <c r="E24" i="8" s="1"/>
  <c r="C25" i="8" l="1"/>
  <c r="D25" i="8" s="1"/>
  <c r="E25" i="8" s="1"/>
  <c r="J27" i="8"/>
  <c r="K27" i="8" s="1"/>
  <c r="L27" i="8"/>
  <c r="C26" i="8" l="1"/>
  <c r="D26" i="8" s="1"/>
  <c r="E26" i="8" s="1"/>
  <c r="J28" i="8"/>
  <c r="K28" i="8" s="1"/>
  <c r="L28" i="8" s="1"/>
  <c r="J29" i="8" l="1"/>
  <c r="K29" i="8" s="1"/>
  <c r="L29" i="8" s="1"/>
  <c r="C27" i="8"/>
  <c r="D27" i="8" s="1"/>
  <c r="E27" i="8" s="1"/>
  <c r="C28" i="8" l="1"/>
  <c r="D28" i="8" s="1"/>
  <c r="E28" i="8" s="1"/>
  <c r="J30" i="8"/>
  <c r="K30" i="8" s="1"/>
  <c r="L30" i="8" s="1"/>
  <c r="J31" i="8" l="1"/>
  <c r="K31" i="8" s="1"/>
  <c r="L31" i="8" s="1"/>
  <c r="C29" i="8"/>
  <c r="D29" i="8" s="1"/>
  <c r="E29" i="8" s="1"/>
  <c r="C30" i="8" l="1"/>
  <c r="D30" i="8" s="1"/>
  <c r="E30" i="8" s="1"/>
  <c r="J32" i="8"/>
  <c r="K32" i="8" s="1"/>
  <c r="L32" i="8"/>
  <c r="C31" i="8" l="1"/>
  <c r="D31" i="8" s="1"/>
  <c r="E31" i="8" s="1"/>
  <c r="J33" i="8"/>
  <c r="K33" i="8" s="1"/>
  <c r="L33" i="8" s="1"/>
  <c r="J34" i="8" l="1"/>
  <c r="K34" i="8" s="1"/>
  <c r="L34" i="8"/>
  <c r="C32" i="8"/>
  <c r="D32" i="8" s="1"/>
  <c r="E32" i="8" s="1"/>
  <c r="C33" i="8" l="1"/>
  <c r="D33" i="8" s="1"/>
  <c r="E33" i="8" s="1"/>
  <c r="J35" i="8"/>
  <c r="K35" i="8" s="1"/>
  <c r="L35" i="8" s="1"/>
  <c r="C34" i="8" l="1"/>
  <c r="D34" i="8" s="1"/>
  <c r="E34" i="8" s="1"/>
  <c r="J36" i="8"/>
  <c r="K36" i="8" s="1"/>
  <c r="L36" i="8" s="1"/>
  <c r="J37" i="8" l="1"/>
  <c r="K37" i="8" s="1"/>
  <c r="L37" i="8"/>
  <c r="C35" i="8"/>
  <c r="D35" i="8" s="1"/>
  <c r="E35" i="8" s="1"/>
  <c r="C36" i="8" l="1"/>
  <c r="D36" i="8" s="1"/>
  <c r="E36" i="8" s="1"/>
  <c r="J38" i="8"/>
  <c r="K38" i="8" s="1"/>
  <c r="L38" i="8" s="1"/>
  <c r="J39" i="8" l="1"/>
  <c r="K39" i="8" s="1"/>
  <c r="L39" i="8" s="1"/>
  <c r="C37" i="8"/>
  <c r="D37" i="8" s="1"/>
  <c r="E37" i="8" s="1"/>
  <c r="C38" i="8" l="1"/>
  <c r="D38" i="8" s="1"/>
  <c r="E38" i="8" s="1"/>
  <c r="J40" i="8"/>
  <c r="K40" i="8" s="1"/>
  <c r="L40" i="8" s="1"/>
  <c r="C39" i="8" l="1"/>
  <c r="D39" i="8" s="1"/>
  <c r="E39" i="8" s="1"/>
  <c r="J41" i="8"/>
  <c r="K41" i="8" s="1"/>
  <c r="L41" i="8" s="1"/>
  <c r="C40" i="8" l="1"/>
  <c r="D40" i="8" s="1"/>
  <c r="E40" i="8" s="1"/>
  <c r="J42" i="8"/>
  <c r="K42" i="8" s="1"/>
  <c r="L42" i="8"/>
  <c r="C41" i="8" l="1"/>
  <c r="D41" i="8" s="1"/>
  <c r="E41" i="8" s="1"/>
  <c r="J43" i="8"/>
  <c r="K43" i="8" s="1"/>
  <c r="L43" i="8"/>
  <c r="C42" i="8" l="1"/>
  <c r="D42" i="8" s="1"/>
  <c r="E42" i="8" s="1"/>
  <c r="J44" i="8"/>
  <c r="K44" i="8" s="1"/>
  <c r="L44" i="8" s="1"/>
  <c r="J45" i="8" l="1"/>
  <c r="K45" i="8" s="1"/>
  <c r="L45" i="8" s="1"/>
  <c r="C43" i="8"/>
  <c r="D43" i="8" s="1"/>
  <c r="E43" i="8" s="1"/>
  <c r="C44" i="8" l="1"/>
  <c r="D44" i="8" s="1"/>
  <c r="E44" i="8" s="1"/>
  <c r="J46" i="8"/>
  <c r="K46" i="8" s="1"/>
  <c r="L46" i="8" s="1"/>
  <c r="J47" i="8" l="1"/>
  <c r="K47" i="8" s="1"/>
  <c r="L47" i="8" s="1"/>
  <c r="C45" i="8"/>
  <c r="D45" i="8" s="1"/>
  <c r="E45" i="8" s="1"/>
  <c r="C46" i="8" l="1"/>
  <c r="D46" i="8" s="1"/>
  <c r="E46" i="8" s="1"/>
  <c r="J48" i="8"/>
  <c r="K48" i="8" s="1"/>
  <c r="L48" i="8" s="1"/>
  <c r="C47" i="8" l="1"/>
  <c r="D47" i="8" s="1"/>
  <c r="E47" i="8" s="1"/>
  <c r="J49" i="8"/>
  <c r="K49" i="8" s="1"/>
  <c r="L49" i="8" s="1"/>
  <c r="J50" i="8" l="1"/>
  <c r="K50" i="8" s="1"/>
  <c r="L50" i="8" s="1"/>
  <c r="C48" i="8"/>
  <c r="D48" i="8" s="1"/>
  <c r="E48" i="8" s="1"/>
  <c r="C49" i="8" l="1"/>
  <c r="D49" i="8" s="1"/>
  <c r="E49" i="8" s="1"/>
  <c r="J51" i="8"/>
  <c r="K51" i="8" s="1"/>
  <c r="L51" i="8"/>
  <c r="C50" i="8" l="1"/>
  <c r="D50" i="8" s="1"/>
  <c r="E50" i="8" s="1"/>
  <c r="J52" i="8"/>
  <c r="K52" i="8" s="1"/>
  <c r="L52" i="8" s="1"/>
  <c r="J53" i="8" l="1"/>
  <c r="K53" i="8" s="1"/>
  <c r="L53" i="8" s="1"/>
  <c r="C51" i="8"/>
  <c r="D51" i="8" s="1"/>
  <c r="E51" i="8" s="1"/>
  <c r="C52" i="8" l="1"/>
  <c r="D52" i="8" s="1"/>
  <c r="E52" i="8" s="1"/>
  <c r="J54" i="8"/>
  <c r="K54" i="8" s="1"/>
  <c r="L54" i="8" s="1"/>
  <c r="J55" i="8" l="1"/>
  <c r="K55" i="8" s="1"/>
  <c r="L55" i="8" s="1"/>
  <c r="C53" i="8"/>
  <c r="D53" i="8" s="1"/>
  <c r="E53" i="8" s="1"/>
  <c r="C54" i="8" l="1"/>
  <c r="D54" i="8" s="1"/>
  <c r="E54" i="8" s="1"/>
  <c r="J56" i="8"/>
  <c r="K56" i="8" s="1"/>
  <c r="L56" i="8"/>
  <c r="C55" i="8" l="1"/>
  <c r="D55" i="8" s="1"/>
  <c r="E55" i="8" s="1"/>
  <c r="J57" i="8"/>
  <c r="K57" i="8" s="1"/>
  <c r="L57" i="8" s="1"/>
  <c r="C56" i="8" l="1"/>
  <c r="D56" i="8" s="1"/>
  <c r="E56" i="8" s="1"/>
  <c r="J58" i="8"/>
  <c r="K58" i="8" s="1"/>
  <c r="L58" i="8" s="1"/>
  <c r="J59" i="8" l="1"/>
  <c r="K59" i="8" s="1"/>
  <c r="L59" i="8" s="1"/>
  <c r="C57" i="8"/>
  <c r="D57" i="8" s="1"/>
  <c r="E57" i="8" s="1"/>
  <c r="C58" i="8" l="1"/>
  <c r="D58" i="8" s="1"/>
  <c r="E58" i="8" s="1"/>
  <c r="J60" i="8"/>
  <c r="K60" i="8" s="1"/>
  <c r="L60" i="8" s="1"/>
  <c r="J61" i="8" l="1"/>
  <c r="K61" i="8" s="1"/>
  <c r="L61" i="8" s="1"/>
  <c r="C59" i="8"/>
  <c r="D59" i="8" s="1"/>
  <c r="E59" i="8" s="1"/>
  <c r="C60" i="8" l="1"/>
  <c r="D60" i="8" s="1"/>
  <c r="E60" i="8" s="1"/>
  <c r="J62" i="8"/>
  <c r="K62" i="8" s="1"/>
  <c r="L62" i="8" s="1"/>
  <c r="J63" i="8" l="1"/>
  <c r="K63" i="8" s="1"/>
  <c r="L63" i="8" s="1"/>
  <c r="C61" i="8"/>
  <c r="D61" i="8" s="1"/>
  <c r="E61" i="8" s="1"/>
  <c r="C62" i="8" l="1"/>
  <c r="D62" i="8" s="1"/>
  <c r="E62" i="8" s="1"/>
  <c r="J64" i="8"/>
  <c r="K64" i="8" s="1"/>
  <c r="L64" i="8"/>
  <c r="C63" i="8" l="1"/>
  <c r="D63" i="8" s="1"/>
  <c r="E63" i="8" s="1"/>
  <c r="J65" i="8"/>
  <c r="K65" i="8" s="1"/>
  <c r="L65" i="8" s="1"/>
  <c r="J66" i="8" l="1"/>
  <c r="K66" i="8" s="1"/>
  <c r="L66" i="8" s="1"/>
  <c r="C64" i="8"/>
  <c r="D64" i="8" s="1"/>
  <c r="E64" i="8" s="1"/>
  <c r="C65" i="8" l="1"/>
  <c r="D65" i="8" s="1"/>
  <c r="E65" i="8" s="1"/>
  <c r="J67" i="8"/>
  <c r="K67" i="8" s="1"/>
  <c r="L67" i="8"/>
  <c r="C66" i="8" l="1"/>
  <c r="D66" i="8" s="1"/>
  <c r="E66" i="8" s="1"/>
  <c r="J68" i="8"/>
  <c r="K68" i="8" s="1"/>
  <c r="L68" i="8" s="1"/>
  <c r="J69" i="8" l="1"/>
  <c r="K69" i="8" s="1"/>
  <c r="L69" i="8" s="1"/>
  <c r="C67" i="8"/>
  <c r="D67" i="8" s="1"/>
  <c r="E67" i="8" s="1"/>
  <c r="C68" i="8" l="1"/>
  <c r="D68" i="8" s="1"/>
  <c r="E68" i="8" s="1"/>
  <c r="J70" i="8"/>
  <c r="K70" i="8" s="1"/>
  <c r="L70" i="8" s="1"/>
  <c r="J71" i="8" l="1"/>
  <c r="K71" i="8" s="1"/>
  <c r="L71" i="8" s="1"/>
  <c r="C69" i="8"/>
  <c r="D69" i="8" s="1"/>
  <c r="E69" i="8" s="1"/>
  <c r="C70" i="8" l="1"/>
  <c r="D70" i="8" s="1"/>
  <c r="E70" i="8" s="1"/>
  <c r="J72" i="8"/>
  <c r="K72" i="8" s="1"/>
  <c r="L72" i="8"/>
  <c r="C71" i="8" l="1"/>
  <c r="D71" i="8" s="1"/>
  <c r="E71" i="8" s="1"/>
  <c r="J73" i="8"/>
  <c r="K73" i="8" s="1"/>
  <c r="L73" i="8" s="1"/>
  <c r="J74" i="8" l="1"/>
  <c r="K74" i="8" s="1"/>
  <c r="L74" i="8" s="1"/>
  <c r="C72" i="8"/>
  <c r="D72" i="8" s="1"/>
  <c r="E72" i="8" s="1"/>
  <c r="C73" i="8" l="1"/>
  <c r="D73" i="8" s="1"/>
  <c r="E73" i="8" s="1"/>
  <c r="J75" i="8"/>
  <c r="K75" i="8" s="1"/>
  <c r="L75" i="8" s="1"/>
  <c r="C74" i="8" l="1"/>
  <c r="D74" i="8" s="1"/>
  <c r="E74" i="8" s="1"/>
  <c r="J76" i="8"/>
  <c r="K76" i="8" s="1"/>
  <c r="L76" i="8"/>
  <c r="C75" i="8" l="1"/>
  <c r="D75" i="8" s="1"/>
  <c r="E75" i="8" s="1"/>
  <c r="J77" i="8"/>
  <c r="K77" i="8" s="1"/>
  <c r="L77" i="8" s="1"/>
  <c r="C76" i="8" l="1"/>
  <c r="D76" i="8" s="1"/>
  <c r="E76" i="8" s="1"/>
  <c r="J78" i="8"/>
  <c r="K78" i="8" s="1"/>
  <c r="L78" i="8" s="1"/>
  <c r="C77" i="8" l="1"/>
  <c r="D77" i="8" s="1"/>
  <c r="E77" i="8" s="1"/>
  <c r="J79" i="8"/>
  <c r="K79" i="8" s="1"/>
  <c r="L79" i="8"/>
  <c r="C78" i="8" l="1"/>
  <c r="D78" i="8" s="1"/>
  <c r="E78" i="8" s="1"/>
  <c r="J80" i="8"/>
  <c r="K80" i="8" s="1"/>
  <c r="L80" i="8" s="1"/>
  <c r="C79" i="8" l="1"/>
  <c r="D79" i="8" s="1"/>
  <c r="E79" i="8" s="1"/>
  <c r="J81" i="8"/>
  <c r="K81" i="8" s="1"/>
  <c r="L81" i="8"/>
  <c r="C80" i="8" l="1"/>
  <c r="D80" i="8" s="1"/>
  <c r="E80" i="8" s="1"/>
  <c r="J82" i="8"/>
  <c r="K82" i="8" s="1"/>
  <c r="L82" i="8" s="1"/>
  <c r="C81" i="8" l="1"/>
  <c r="D81" i="8" s="1"/>
  <c r="E81" i="8" s="1"/>
  <c r="J83" i="8"/>
  <c r="K83" i="8" s="1"/>
  <c r="L83" i="8"/>
  <c r="C82" i="8" l="1"/>
  <c r="D82" i="8" s="1"/>
  <c r="E82" i="8" s="1"/>
  <c r="J84" i="8"/>
  <c r="K84" i="8" s="1"/>
  <c r="L84" i="8" s="1"/>
  <c r="C83" i="8" l="1"/>
  <c r="D83" i="8" s="1"/>
  <c r="E83" i="8" s="1"/>
  <c r="J85" i="8"/>
  <c r="K85" i="8" s="1"/>
  <c r="L85" i="8"/>
  <c r="C84" i="8" l="1"/>
  <c r="D84" i="8" s="1"/>
  <c r="E84" i="8" s="1"/>
  <c r="J86" i="8"/>
  <c r="K86" i="8" s="1"/>
  <c r="L86" i="8" s="1"/>
  <c r="C85" i="8" l="1"/>
  <c r="D85" i="8" s="1"/>
  <c r="E85" i="8" s="1"/>
  <c r="J87" i="8"/>
  <c r="K87" i="8" s="1"/>
  <c r="L87" i="8" s="1"/>
  <c r="C86" i="8" l="1"/>
  <c r="D86" i="8" s="1"/>
  <c r="E86" i="8" s="1"/>
  <c r="J88" i="8"/>
  <c r="K88" i="8" s="1"/>
  <c r="L88" i="8" s="1"/>
  <c r="C87" i="8" l="1"/>
  <c r="D87" i="8" s="1"/>
  <c r="E87" i="8" s="1"/>
  <c r="J89" i="8"/>
  <c r="K89" i="8" s="1"/>
  <c r="L89" i="8" s="1"/>
  <c r="C88" i="8" l="1"/>
  <c r="D88" i="8" s="1"/>
  <c r="E88" i="8" s="1"/>
  <c r="J90" i="8"/>
  <c r="K90" i="8" s="1"/>
  <c r="L90" i="8" s="1"/>
  <c r="C89" i="8" l="1"/>
  <c r="D89" i="8" s="1"/>
  <c r="E89" i="8" s="1"/>
  <c r="J91" i="8"/>
  <c r="K91" i="8" s="1"/>
  <c r="L91" i="8" s="1"/>
  <c r="C90" i="8" l="1"/>
  <c r="D90" i="8" s="1"/>
  <c r="E90" i="8" s="1"/>
  <c r="J92" i="8"/>
  <c r="K92" i="8" s="1"/>
  <c r="L92" i="8" s="1"/>
  <c r="C91" i="8" l="1"/>
  <c r="D91" i="8" s="1"/>
  <c r="E91" i="8" s="1"/>
  <c r="J93" i="8"/>
  <c r="K93" i="8" s="1"/>
  <c r="L93" i="8" s="1"/>
  <c r="C92" i="8" l="1"/>
  <c r="D92" i="8" s="1"/>
  <c r="E92" i="8" s="1"/>
  <c r="J94" i="8"/>
  <c r="K94" i="8" s="1"/>
  <c r="L94" i="8"/>
  <c r="C93" i="8" l="1"/>
  <c r="D93" i="8" s="1"/>
  <c r="E93" i="8"/>
  <c r="J95" i="8"/>
  <c r="K95" i="8" s="1"/>
  <c r="L95" i="8" s="1"/>
  <c r="J96" i="8" l="1"/>
  <c r="K96" i="8" s="1"/>
  <c r="L96" i="8" s="1"/>
  <c r="C94" i="8"/>
  <c r="D94" i="8" s="1"/>
  <c r="E94" i="8" s="1"/>
  <c r="J97" i="8" l="1"/>
  <c r="K97" i="8" s="1"/>
  <c r="L97" i="8" s="1"/>
  <c r="C95" i="8"/>
  <c r="D95" i="8" s="1"/>
  <c r="E95" i="8"/>
  <c r="J98" i="8" l="1"/>
  <c r="K98" i="8" s="1"/>
  <c r="L98" i="8" s="1"/>
  <c r="C96" i="8"/>
  <c r="D96" i="8" s="1"/>
  <c r="E96" i="8" s="1"/>
  <c r="J99" i="8" l="1"/>
  <c r="K99" i="8" s="1"/>
  <c r="L99" i="8" s="1"/>
  <c r="C97" i="8"/>
  <c r="D97" i="8" s="1"/>
  <c r="E97" i="8" s="1"/>
  <c r="J100" i="8" l="1"/>
  <c r="K100" i="8" s="1"/>
  <c r="L100" i="8" s="1"/>
  <c r="C98" i="8"/>
  <c r="D98" i="8" s="1"/>
  <c r="E98" i="8" s="1"/>
  <c r="C99" i="8" l="1"/>
  <c r="D99" i="8" s="1"/>
  <c r="E99" i="8" s="1"/>
  <c r="J101" i="8"/>
  <c r="K101" i="8" s="1"/>
  <c r="L101" i="8"/>
  <c r="J102" i="8" l="1"/>
  <c r="K102" i="8" s="1"/>
  <c r="L102" i="8" s="1"/>
  <c r="C100" i="8"/>
  <c r="D100" i="8" s="1"/>
  <c r="E100" i="8"/>
  <c r="J103" i="8" l="1"/>
  <c r="K103" i="8" s="1"/>
  <c r="L103" i="8" s="1"/>
  <c r="C101" i="8"/>
  <c r="D101" i="8" s="1"/>
  <c r="E101" i="8"/>
  <c r="J104" i="8" l="1"/>
  <c r="K104" i="8" s="1"/>
  <c r="L104" i="8" s="1"/>
  <c r="C102" i="8"/>
  <c r="D102" i="8" s="1"/>
  <c r="E102" i="8"/>
  <c r="C103" i="8" l="1"/>
  <c r="D103" i="8" s="1"/>
  <c r="E103" i="8" s="1"/>
  <c r="J105" i="8"/>
  <c r="K105" i="8" s="1"/>
  <c r="L105" i="8"/>
  <c r="J106" i="8" l="1"/>
  <c r="K106" i="8" s="1"/>
  <c r="L106" i="8" s="1"/>
  <c r="C104" i="8"/>
  <c r="D104" i="8" s="1"/>
  <c r="E104" i="8"/>
  <c r="J107" i="8" l="1"/>
  <c r="K107" i="8" s="1"/>
  <c r="L107" i="8" s="1"/>
  <c r="C105" i="8"/>
  <c r="D105" i="8" s="1"/>
  <c r="E105" i="8"/>
  <c r="J108" i="8" l="1"/>
  <c r="K108" i="8" s="1"/>
  <c r="L108" i="8"/>
  <c r="C106" i="8"/>
  <c r="D106" i="8" s="1"/>
  <c r="E106" i="8" s="1"/>
  <c r="C107" i="8" l="1"/>
  <c r="D107" i="8" s="1"/>
  <c r="E107" i="8" s="1"/>
  <c r="J109" i="8"/>
  <c r="K109" i="8" s="1"/>
  <c r="L109" i="8" s="1"/>
  <c r="J110" i="8" l="1"/>
  <c r="K110" i="8" s="1"/>
  <c r="L110" i="8" s="1"/>
  <c r="C108" i="8"/>
  <c r="D108" i="8" s="1"/>
  <c r="E108" i="8"/>
  <c r="J111" i="8" l="1"/>
  <c r="K111" i="8" s="1"/>
  <c r="L111" i="8" s="1"/>
  <c r="C109" i="8"/>
  <c r="D109" i="8" s="1"/>
  <c r="E109" i="8"/>
  <c r="J112" i="8" l="1"/>
  <c r="K112" i="8" s="1"/>
  <c r="L112" i="8"/>
  <c r="C110" i="8"/>
  <c r="D110" i="8" s="1"/>
  <c r="E110" i="8" s="1"/>
  <c r="C111" i="8" l="1"/>
  <c r="D111" i="8" s="1"/>
  <c r="E111" i="8"/>
  <c r="J113" i="8"/>
  <c r="K113" i="8" s="1"/>
  <c r="L113" i="8" s="1"/>
  <c r="J114" i="8" l="1"/>
  <c r="K114" i="8" s="1"/>
  <c r="L114" i="8" s="1"/>
  <c r="C112" i="8"/>
  <c r="D112" i="8" s="1"/>
  <c r="E112" i="8"/>
  <c r="J115" i="8" l="1"/>
  <c r="K115" i="8" s="1"/>
  <c r="L115" i="8" s="1"/>
  <c r="C113" i="8"/>
  <c r="D113" i="8" s="1"/>
  <c r="E113" i="8" s="1"/>
  <c r="J116" i="8" l="1"/>
  <c r="K116" i="8" s="1"/>
  <c r="L116" i="8" s="1"/>
  <c r="C114" i="8"/>
  <c r="D114" i="8" s="1"/>
  <c r="E114" i="8" s="1"/>
  <c r="J117" i="8" l="1"/>
  <c r="K117" i="8" s="1"/>
  <c r="L117" i="8" s="1"/>
  <c r="C115" i="8"/>
  <c r="D115" i="8" s="1"/>
  <c r="E115" i="8" s="1"/>
  <c r="J118" i="8" l="1"/>
  <c r="K118" i="8" s="1"/>
  <c r="L118" i="8" s="1"/>
  <c r="C116" i="8"/>
  <c r="D116" i="8" s="1"/>
  <c r="E116" i="8" s="1"/>
  <c r="J119" i="8" l="1"/>
  <c r="K119" i="8" s="1"/>
  <c r="L119" i="8" s="1"/>
  <c r="C117" i="8"/>
  <c r="D117" i="8" s="1"/>
  <c r="E117" i="8" s="1"/>
  <c r="J120" i="8" l="1"/>
  <c r="K120" i="8" s="1"/>
  <c r="L120" i="8" s="1"/>
  <c r="C118" i="8"/>
  <c r="D118" i="8" s="1"/>
  <c r="E118" i="8"/>
  <c r="J121" i="8" l="1"/>
  <c r="K121" i="8" s="1"/>
  <c r="L121" i="8" s="1"/>
  <c r="C119" i="8"/>
  <c r="D119" i="8" s="1"/>
  <c r="E119" i="8" s="1"/>
  <c r="J122" i="8" l="1"/>
  <c r="K122" i="8" s="1"/>
  <c r="L122" i="8" s="1"/>
  <c r="C120" i="8"/>
  <c r="D120" i="8" s="1"/>
  <c r="E120" i="8" s="1"/>
  <c r="J123" i="8" l="1"/>
  <c r="K123" i="8" s="1"/>
  <c r="L123" i="8" s="1"/>
  <c r="C121" i="8"/>
  <c r="D121" i="8" s="1"/>
  <c r="E121" i="8" s="1"/>
  <c r="J124" i="8" l="1"/>
  <c r="K124" i="8" s="1"/>
  <c r="L124" i="8" s="1"/>
  <c r="C122" i="8"/>
  <c r="D122" i="8" s="1"/>
  <c r="E122" i="8" s="1"/>
  <c r="J125" i="8" l="1"/>
  <c r="K125" i="8" s="1"/>
  <c r="L125" i="8" s="1"/>
  <c r="C123" i="8"/>
  <c r="D123" i="8" s="1"/>
  <c r="E123" i="8" s="1"/>
  <c r="J126" i="8" l="1"/>
  <c r="K126" i="8" s="1"/>
  <c r="L126" i="8" s="1"/>
  <c r="C124" i="8"/>
  <c r="D124" i="8" s="1"/>
  <c r="E124" i="8"/>
  <c r="J127" i="8" l="1"/>
  <c r="K127" i="8" s="1"/>
  <c r="L127" i="8" s="1"/>
  <c r="C125" i="8"/>
  <c r="D125" i="8" s="1"/>
  <c r="E125" i="8" s="1"/>
  <c r="J128" i="8" l="1"/>
  <c r="K128" i="8" s="1"/>
  <c r="L128" i="8" s="1"/>
  <c r="C126" i="8"/>
  <c r="D126" i="8" s="1"/>
  <c r="E126" i="8"/>
  <c r="J129" i="8" l="1"/>
  <c r="K129" i="8" s="1"/>
  <c r="L129" i="8" s="1"/>
  <c r="C127" i="8"/>
  <c r="D127" i="8" s="1"/>
  <c r="E127" i="8" s="1"/>
  <c r="J130" i="8" l="1"/>
  <c r="K130" i="8" s="1"/>
  <c r="L130" i="8" s="1"/>
  <c r="C128" i="8"/>
  <c r="D128" i="8" s="1"/>
  <c r="E128" i="8" s="1"/>
  <c r="J131" i="8" l="1"/>
  <c r="K131" i="8" s="1"/>
  <c r="L131" i="8" s="1"/>
  <c r="C129" i="8"/>
  <c r="D129" i="8" s="1"/>
  <c r="E129" i="8"/>
  <c r="J132" i="8" l="1"/>
  <c r="K132" i="8" s="1"/>
  <c r="L132" i="8" s="1"/>
  <c r="C130" i="8"/>
  <c r="D130" i="8" s="1"/>
  <c r="E130" i="8"/>
  <c r="J133" i="8" l="1"/>
  <c r="K133" i="8" s="1"/>
  <c r="L133" i="8" s="1"/>
  <c r="C131" i="8"/>
  <c r="D131" i="8" s="1"/>
  <c r="E131" i="8" s="1"/>
  <c r="J134" i="8" l="1"/>
  <c r="K134" i="8" s="1"/>
  <c r="L134" i="8" s="1"/>
  <c r="C132" i="8"/>
  <c r="D132" i="8" s="1"/>
  <c r="E132" i="8" s="1"/>
  <c r="J135" i="8" l="1"/>
  <c r="K135" i="8" s="1"/>
  <c r="L135" i="8" s="1"/>
  <c r="C133" i="8"/>
  <c r="D133" i="8" s="1"/>
  <c r="E133" i="8" s="1"/>
  <c r="J136" i="8" l="1"/>
  <c r="K136" i="8" s="1"/>
  <c r="L136" i="8" s="1"/>
  <c r="C134" i="8"/>
  <c r="D134" i="8" s="1"/>
  <c r="E134" i="8"/>
  <c r="J137" i="8" l="1"/>
  <c r="K137" i="8" s="1"/>
  <c r="L137" i="8" s="1"/>
  <c r="C135" i="8"/>
  <c r="D135" i="8" s="1"/>
  <c r="E135" i="8" s="1"/>
  <c r="J138" i="8" l="1"/>
  <c r="K138" i="8" s="1"/>
  <c r="L138" i="8" s="1"/>
  <c r="C136" i="8"/>
  <c r="D136" i="8" s="1"/>
  <c r="E136" i="8"/>
  <c r="J139" i="8" l="1"/>
  <c r="K139" i="8" s="1"/>
  <c r="L139" i="8" s="1"/>
  <c r="C137" i="8"/>
  <c r="D137" i="8" s="1"/>
  <c r="E137" i="8" s="1"/>
  <c r="J140" i="8" l="1"/>
  <c r="K140" i="8" s="1"/>
  <c r="L140" i="8" s="1"/>
  <c r="C138" i="8"/>
  <c r="D138" i="8" s="1"/>
  <c r="E138" i="8"/>
  <c r="J141" i="8" l="1"/>
  <c r="K141" i="8" s="1"/>
  <c r="L141" i="8" s="1"/>
  <c r="C139" i="8"/>
  <c r="D139" i="8" s="1"/>
  <c r="E139" i="8" s="1"/>
  <c r="J142" i="8" l="1"/>
  <c r="K142" i="8" s="1"/>
  <c r="L142" i="8" s="1"/>
  <c r="C140" i="8"/>
  <c r="D140" i="8" s="1"/>
  <c r="E140" i="8"/>
  <c r="C141" i="8" l="1"/>
  <c r="D141" i="8" s="1"/>
  <c r="E141" i="8" s="1"/>
  <c r="J143" i="8"/>
  <c r="K143" i="8" s="1"/>
  <c r="L143" i="8" s="1"/>
  <c r="J144" i="8" l="1"/>
  <c r="K144" i="8" s="1"/>
  <c r="L144" i="8" s="1"/>
  <c r="C142" i="8"/>
  <c r="D142" i="8" s="1"/>
  <c r="E142" i="8"/>
  <c r="C143" i="8" l="1"/>
  <c r="D143" i="8" s="1"/>
  <c r="E143" i="8" s="1"/>
  <c r="J145" i="8"/>
  <c r="K145" i="8" s="1"/>
  <c r="L145" i="8" s="1"/>
  <c r="J146" i="8" l="1"/>
  <c r="K146" i="8" s="1"/>
  <c r="L146" i="8" s="1"/>
  <c r="C144" i="8"/>
  <c r="D144" i="8" s="1"/>
  <c r="E144" i="8" s="1"/>
  <c r="C145" i="8" l="1"/>
  <c r="D145" i="8" s="1"/>
  <c r="E145" i="8" s="1"/>
  <c r="J147" i="8"/>
  <c r="K147" i="8" s="1"/>
  <c r="L147" i="8" s="1"/>
  <c r="C146" i="8" l="1"/>
  <c r="D146" i="8" s="1"/>
  <c r="E146" i="8" s="1"/>
  <c r="J148" i="8"/>
  <c r="K148" i="8" s="1"/>
  <c r="L148" i="8" s="1"/>
  <c r="C147" i="8" l="1"/>
  <c r="D147" i="8" s="1"/>
  <c r="E147" i="8" s="1"/>
  <c r="J149" i="8"/>
  <c r="K149" i="8" s="1"/>
  <c r="L149" i="8" s="1"/>
  <c r="C148" i="8" l="1"/>
  <c r="D148" i="8" s="1"/>
  <c r="E148" i="8"/>
  <c r="J150" i="8"/>
  <c r="K150" i="8" s="1"/>
  <c r="L150" i="8"/>
  <c r="J151" i="8" l="1"/>
  <c r="K151" i="8" s="1"/>
  <c r="L151" i="8" s="1"/>
  <c r="C149" i="8"/>
  <c r="D149" i="8" s="1"/>
  <c r="E149" i="8" s="1"/>
  <c r="C150" i="8" l="1"/>
  <c r="D150" i="8" s="1"/>
  <c r="E150" i="8" s="1"/>
  <c r="J152" i="8"/>
  <c r="K152" i="8" s="1"/>
  <c r="L152" i="8"/>
  <c r="J153" i="8" l="1"/>
  <c r="K153" i="8" s="1"/>
  <c r="L153" i="8" s="1"/>
  <c r="C151" i="8"/>
  <c r="D151" i="8" s="1"/>
  <c r="E151" i="8"/>
  <c r="C152" i="8" l="1"/>
  <c r="D152" i="8" s="1"/>
  <c r="E152" i="8" s="1"/>
  <c r="J154" i="8"/>
  <c r="K154" i="8" s="1"/>
  <c r="L154" i="8"/>
  <c r="C153" i="8" l="1"/>
  <c r="D153" i="8" s="1"/>
  <c r="E153" i="8" s="1"/>
  <c r="J155" i="8"/>
  <c r="K155" i="8" s="1"/>
  <c r="L155" i="8" s="1"/>
  <c r="C154" i="8" l="1"/>
  <c r="D154" i="8" s="1"/>
  <c r="E154" i="8" s="1"/>
  <c r="J156" i="8"/>
  <c r="K156" i="8" s="1"/>
  <c r="L156" i="8" s="1"/>
  <c r="C155" i="8" l="1"/>
  <c r="D155" i="8" s="1"/>
  <c r="E155" i="8"/>
  <c r="J157" i="8"/>
  <c r="K157" i="8" s="1"/>
  <c r="L157" i="8" s="1"/>
  <c r="J158" i="8" l="1"/>
  <c r="K158" i="8" s="1"/>
  <c r="L158" i="8" s="1"/>
  <c r="C156" i="8"/>
  <c r="D156" i="8" s="1"/>
  <c r="E156" i="8" s="1"/>
  <c r="C157" i="8" l="1"/>
  <c r="D157" i="8" s="1"/>
  <c r="E157" i="8"/>
  <c r="J159" i="8"/>
  <c r="K159" i="8" s="1"/>
  <c r="L159" i="8"/>
  <c r="J160" i="8" l="1"/>
  <c r="K160" i="8" s="1"/>
  <c r="L160" i="8" s="1"/>
  <c r="C158" i="8"/>
  <c r="D158" i="8" s="1"/>
  <c r="E158" i="8" s="1"/>
  <c r="C159" i="8" l="1"/>
  <c r="D159" i="8" s="1"/>
  <c r="E159" i="8"/>
  <c r="J161" i="8"/>
  <c r="K161" i="8" s="1"/>
  <c r="L161" i="8" s="1"/>
  <c r="J162" i="8" l="1"/>
  <c r="K162" i="8" s="1"/>
  <c r="L162" i="8"/>
  <c r="C160" i="8"/>
  <c r="D160" i="8" s="1"/>
  <c r="E160" i="8"/>
  <c r="C161" i="8" l="1"/>
  <c r="D161" i="8" s="1"/>
  <c r="E161" i="8" s="1"/>
  <c r="J163" i="8"/>
  <c r="K163" i="8" s="1"/>
  <c r="L163" i="8" s="1"/>
  <c r="J164" i="8" l="1"/>
  <c r="K164" i="8" s="1"/>
  <c r="L164" i="8" s="1"/>
  <c r="C162" i="8"/>
  <c r="D162" i="8" s="1"/>
  <c r="E162" i="8" s="1"/>
  <c r="C163" i="8" l="1"/>
  <c r="D163" i="8" s="1"/>
  <c r="E163" i="8" s="1"/>
  <c r="J165" i="8"/>
  <c r="K165" i="8" s="1"/>
  <c r="L165" i="8"/>
  <c r="C164" i="8" l="1"/>
  <c r="D164" i="8" s="1"/>
  <c r="E164" i="8"/>
  <c r="J166" i="8"/>
  <c r="K166" i="8" s="1"/>
  <c r="L166" i="8" s="1"/>
  <c r="J167" i="8" l="1"/>
  <c r="K167" i="8" s="1"/>
  <c r="L167" i="8"/>
  <c r="C165" i="8"/>
  <c r="D165" i="8" s="1"/>
  <c r="E165" i="8" s="1"/>
  <c r="C166" i="8" l="1"/>
  <c r="D166" i="8" s="1"/>
  <c r="E166" i="8" s="1"/>
  <c r="J168" i="8"/>
  <c r="K168" i="8" s="1"/>
  <c r="L168" i="8"/>
  <c r="C167" i="8" l="1"/>
  <c r="D167" i="8" s="1"/>
  <c r="E167" i="8" s="1"/>
  <c r="J169" i="8"/>
  <c r="K169" i="8" s="1"/>
  <c r="L169" i="8" s="1"/>
  <c r="C168" i="8" l="1"/>
  <c r="D168" i="8" s="1"/>
  <c r="E168" i="8" s="1"/>
  <c r="J170" i="8"/>
  <c r="K170" i="8" s="1"/>
  <c r="L170" i="8"/>
  <c r="C169" i="8" l="1"/>
  <c r="D169" i="8" s="1"/>
  <c r="E169" i="8" s="1"/>
  <c r="J171" i="8"/>
  <c r="K171" i="8" s="1"/>
  <c r="L171" i="8" s="1"/>
  <c r="J172" i="8" l="1"/>
  <c r="K172" i="8" s="1"/>
  <c r="L172" i="8" s="1"/>
  <c r="C170" i="8"/>
  <c r="D170" i="8" s="1"/>
  <c r="E170" i="8" s="1"/>
  <c r="C171" i="8" l="1"/>
  <c r="D171" i="8" s="1"/>
  <c r="E171" i="8" s="1"/>
  <c r="J173" i="8"/>
  <c r="K173" i="8" s="1"/>
  <c r="L173" i="8" s="1"/>
  <c r="J174" i="8" l="1"/>
  <c r="K174" i="8" s="1"/>
  <c r="L174" i="8" s="1"/>
  <c r="C172" i="8"/>
  <c r="D172" i="8" s="1"/>
  <c r="E172" i="8"/>
  <c r="C173" i="8" l="1"/>
  <c r="D173" i="8" s="1"/>
  <c r="E173" i="8" s="1"/>
  <c r="J175" i="8"/>
  <c r="K175" i="8" s="1"/>
  <c r="L175" i="8" s="1"/>
  <c r="C174" i="8" l="1"/>
  <c r="D174" i="8" s="1"/>
  <c r="E174" i="8" s="1"/>
  <c r="J176" i="8"/>
  <c r="K176" i="8" s="1"/>
  <c r="L176" i="8" s="1"/>
  <c r="J177" i="8" l="1"/>
  <c r="K177" i="8" s="1"/>
  <c r="L177" i="8"/>
  <c r="C175" i="8"/>
  <c r="D175" i="8" s="1"/>
  <c r="E175" i="8"/>
  <c r="C176" i="8" l="1"/>
  <c r="D176" i="8" s="1"/>
  <c r="E176" i="8" s="1"/>
  <c r="J178" i="8"/>
  <c r="K178" i="8" s="1"/>
  <c r="L178" i="8"/>
  <c r="C177" i="8" l="1"/>
  <c r="D177" i="8" s="1"/>
  <c r="E177" i="8" s="1"/>
  <c r="J179" i="8"/>
  <c r="K179" i="8" s="1"/>
  <c r="L179" i="8" s="1"/>
  <c r="J180" i="8" l="1"/>
  <c r="K180" i="8" s="1"/>
  <c r="L180" i="8" s="1"/>
  <c r="C178" i="8"/>
  <c r="D178" i="8" s="1"/>
  <c r="E178" i="8" s="1"/>
  <c r="C179" i="8" l="1"/>
  <c r="D179" i="8" s="1"/>
  <c r="E179" i="8" s="1"/>
  <c r="J181" i="8"/>
  <c r="K181" i="8" s="1"/>
  <c r="L181" i="8" s="1"/>
  <c r="J182" i="8" l="1"/>
  <c r="K182" i="8" s="1"/>
  <c r="L182" i="8" s="1"/>
  <c r="C180" i="8"/>
  <c r="D180" i="8" s="1"/>
  <c r="E180" i="8"/>
  <c r="J183" i="8" l="1"/>
  <c r="K183" i="8" s="1"/>
  <c r="L183" i="8" s="1"/>
  <c r="C181" i="8"/>
  <c r="D181" i="8" s="1"/>
  <c r="E181" i="8" s="1"/>
  <c r="C182" i="8" l="1"/>
  <c r="D182" i="8" s="1"/>
  <c r="E182" i="8"/>
  <c r="J184" i="8"/>
  <c r="K184" i="8" s="1"/>
  <c r="L184" i="8" s="1"/>
  <c r="J185" i="8" l="1"/>
  <c r="K185" i="8" s="1"/>
  <c r="L185" i="8" s="1"/>
  <c r="C183" i="8"/>
  <c r="D183" i="8" s="1"/>
  <c r="E183" i="8" s="1"/>
  <c r="J186" i="8" l="1"/>
  <c r="K186" i="8" s="1"/>
  <c r="L186" i="8"/>
  <c r="C184" i="8"/>
  <c r="D184" i="8" s="1"/>
  <c r="E184" i="8" s="1"/>
  <c r="C185" i="8" l="1"/>
  <c r="D185" i="8" s="1"/>
  <c r="E185" i="8" s="1"/>
  <c r="J187" i="8"/>
  <c r="K187" i="8" s="1"/>
  <c r="L187" i="8" s="1"/>
  <c r="J188" i="8" l="1"/>
  <c r="K188" i="8" s="1"/>
  <c r="L188" i="8" s="1"/>
  <c r="C186" i="8"/>
  <c r="D186" i="8" s="1"/>
  <c r="E186" i="8" s="1"/>
  <c r="C187" i="8" l="1"/>
  <c r="D187" i="8" s="1"/>
  <c r="E187" i="8" s="1"/>
  <c r="J189" i="8"/>
  <c r="K189" i="8" s="1"/>
  <c r="L189" i="8" s="1"/>
  <c r="J190" i="8" l="1"/>
  <c r="K190" i="8" s="1"/>
  <c r="L190" i="8" s="1"/>
  <c r="C188" i="8"/>
  <c r="D188" i="8" s="1"/>
  <c r="E188" i="8" s="1"/>
  <c r="C189" i="8" l="1"/>
  <c r="D189" i="8" s="1"/>
  <c r="E189" i="8" s="1"/>
  <c r="J191" i="8"/>
  <c r="K191" i="8" s="1"/>
  <c r="L191" i="8" s="1"/>
  <c r="J192" i="8" l="1"/>
  <c r="K192" i="8" s="1"/>
  <c r="L192" i="8" s="1"/>
  <c r="C190" i="8"/>
  <c r="D190" i="8" s="1"/>
  <c r="E190" i="8"/>
  <c r="J193" i="8" l="1"/>
  <c r="K193" i="8" s="1"/>
  <c r="L193" i="8" s="1"/>
  <c r="C191" i="8"/>
  <c r="D191" i="8" s="1"/>
  <c r="E191" i="8"/>
  <c r="J194" i="8" l="1"/>
  <c r="K194" i="8" s="1"/>
  <c r="L194" i="8" s="1"/>
  <c r="C192" i="8"/>
  <c r="D192" i="8" s="1"/>
  <c r="E192" i="8" s="1"/>
  <c r="C193" i="8" l="1"/>
  <c r="D193" i="8" s="1"/>
  <c r="E193" i="8" s="1"/>
  <c r="J195" i="8"/>
  <c r="K195" i="8" s="1"/>
  <c r="L195" i="8" s="1"/>
  <c r="J196" i="8" l="1"/>
  <c r="K196" i="8" s="1"/>
  <c r="L196" i="8" s="1"/>
  <c r="C194" i="8"/>
  <c r="D194" i="8" s="1"/>
  <c r="E194" i="8" s="1"/>
  <c r="C195" i="8" l="1"/>
  <c r="D195" i="8" s="1"/>
  <c r="E195" i="8" s="1"/>
  <c r="J197" i="8"/>
  <c r="K197" i="8" s="1"/>
  <c r="L197" i="8" s="1"/>
  <c r="J198" i="8" l="1"/>
  <c r="K198" i="8" s="1"/>
  <c r="L198" i="8" s="1"/>
  <c r="C196" i="8"/>
  <c r="D196" i="8" s="1"/>
  <c r="E196" i="8" s="1"/>
  <c r="J199" i="8" l="1"/>
  <c r="K199" i="8" s="1"/>
  <c r="L199" i="8" s="1"/>
  <c r="C197" i="8"/>
  <c r="D197" i="8" s="1"/>
  <c r="E197" i="8" s="1"/>
  <c r="C198" i="8" l="1"/>
  <c r="D198" i="8" s="1"/>
  <c r="E198" i="8" s="1"/>
  <c r="J200" i="8"/>
  <c r="K200" i="8" s="1"/>
  <c r="L200" i="8" s="1"/>
  <c r="J201" i="8" l="1"/>
  <c r="K201" i="8" s="1"/>
  <c r="L201" i="8" s="1"/>
  <c r="C199" i="8"/>
  <c r="D199" i="8" s="1"/>
  <c r="E199" i="8" s="1"/>
  <c r="J202" i="8" l="1"/>
  <c r="K202" i="8" s="1"/>
  <c r="L202" i="8" s="1"/>
  <c r="C200" i="8"/>
  <c r="D200" i="8" s="1"/>
  <c r="E200" i="8" s="1"/>
  <c r="C201" i="8" l="1"/>
  <c r="D201" i="8" s="1"/>
  <c r="E201" i="8" s="1"/>
  <c r="J203" i="8"/>
  <c r="K203" i="8" s="1"/>
  <c r="L203" i="8" s="1"/>
  <c r="J204" i="8" l="1"/>
  <c r="K204" i="8" s="1"/>
  <c r="L204" i="8" s="1"/>
  <c r="C202" i="8"/>
  <c r="D202" i="8" s="1"/>
  <c r="E202" i="8" s="1"/>
  <c r="C203" i="8" l="1"/>
  <c r="D203" i="8" s="1"/>
  <c r="E203" i="8" s="1"/>
  <c r="J205" i="8"/>
  <c r="K205" i="8" s="1"/>
  <c r="L205" i="8" s="1"/>
  <c r="J206" i="8" l="1"/>
  <c r="K206" i="8" s="1"/>
  <c r="L206" i="8" s="1"/>
  <c r="C204" i="8"/>
  <c r="D204" i="8" s="1"/>
  <c r="E204" i="8" s="1"/>
  <c r="C205" i="8" l="1"/>
  <c r="D205" i="8" s="1"/>
  <c r="E205" i="8" s="1"/>
  <c r="J207" i="8"/>
  <c r="K207" i="8" s="1"/>
  <c r="L207" i="8" s="1"/>
  <c r="J208" i="8" l="1"/>
  <c r="K208" i="8" s="1"/>
  <c r="L208" i="8" s="1"/>
  <c r="C206" i="8"/>
  <c r="D206" i="8" s="1"/>
  <c r="E206" i="8"/>
  <c r="J209" i="8" l="1"/>
  <c r="K209" i="8" s="1"/>
  <c r="L209" i="8" s="1"/>
  <c r="C207" i="8"/>
  <c r="D207" i="8" s="1"/>
  <c r="E207" i="8" s="1"/>
  <c r="C208" i="8" l="1"/>
  <c r="D208" i="8" s="1"/>
  <c r="E208" i="8" s="1"/>
  <c r="J210" i="8"/>
  <c r="K210" i="8" s="1"/>
  <c r="L210" i="8" s="1"/>
  <c r="J211" i="8" l="1"/>
  <c r="K211" i="8" s="1"/>
  <c r="L211" i="8" s="1"/>
  <c r="C209" i="8"/>
  <c r="D209" i="8" s="1"/>
  <c r="E209" i="8" s="1"/>
  <c r="C210" i="8" l="1"/>
  <c r="D210" i="8" s="1"/>
  <c r="E210" i="8" s="1"/>
  <c r="J212" i="8"/>
  <c r="K212" i="8" s="1"/>
  <c r="L212" i="8" s="1"/>
  <c r="J213" i="8" l="1"/>
  <c r="K213" i="8" s="1"/>
  <c r="L213" i="8" s="1"/>
  <c r="C211" i="8"/>
  <c r="D211" i="8" s="1"/>
  <c r="E211" i="8" s="1"/>
  <c r="J214" i="8" l="1"/>
  <c r="K214" i="8" s="1"/>
  <c r="L214" i="8" s="1"/>
  <c r="C212" i="8"/>
  <c r="D212" i="8" s="1"/>
  <c r="E212" i="8" s="1"/>
  <c r="C213" i="8" l="1"/>
  <c r="D213" i="8" s="1"/>
  <c r="E213" i="8" s="1"/>
  <c r="J215" i="8"/>
  <c r="K215" i="8" s="1"/>
  <c r="L215" i="8" s="1"/>
  <c r="J216" i="8" l="1"/>
  <c r="K216" i="8" s="1"/>
  <c r="L216" i="8" s="1"/>
  <c r="C214" i="8"/>
  <c r="D214" i="8" s="1"/>
  <c r="E214" i="8" s="1"/>
  <c r="J217" i="8" l="1"/>
  <c r="K217" i="8" s="1"/>
  <c r="L217" i="8" s="1"/>
  <c r="C215" i="8"/>
  <c r="D215" i="8" s="1"/>
  <c r="E215" i="8" s="1"/>
  <c r="C216" i="8" l="1"/>
  <c r="D216" i="8" s="1"/>
  <c r="E216" i="8" s="1"/>
  <c r="J218" i="8"/>
  <c r="K218" i="8" s="1"/>
  <c r="L218" i="8" s="1"/>
  <c r="J219" i="8" l="1"/>
  <c r="K219" i="8" s="1"/>
  <c r="L219" i="8" s="1"/>
  <c r="C217" i="8"/>
  <c r="D217" i="8" s="1"/>
  <c r="E217" i="8" s="1"/>
  <c r="C218" i="8" l="1"/>
  <c r="D218" i="8" s="1"/>
  <c r="E218" i="8" s="1"/>
  <c r="J220" i="8"/>
  <c r="K220" i="8" s="1"/>
  <c r="L220" i="8" s="1"/>
  <c r="J221" i="8" l="1"/>
  <c r="K221" i="8" s="1"/>
  <c r="L221" i="8" s="1"/>
  <c r="C219" i="8"/>
  <c r="D219" i="8" s="1"/>
  <c r="E219" i="8" s="1"/>
  <c r="J222" i="8" l="1"/>
  <c r="K222" i="8" s="1"/>
  <c r="L222" i="8" s="1"/>
  <c r="C220" i="8"/>
  <c r="D220" i="8" s="1"/>
  <c r="E220" i="8" s="1"/>
  <c r="C221" i="8" l="1"/>
  <c r="D221" i="8" s="1"/>
  <c r="E221" i="8" s="1"/>
  <c r="J223" i="8"/>
  <c r="K223" i="8" s="1"/>
  <c r="L223" i="8" s="1"/>
  <c r="J224" i="8" l="1"/>
  <c r="K224" i="8" s="1"/>
  <c r="L224" i="8" s="1"/>
  <c r="C222" i="8"/>
  <c r="D222" i="8" s="1"/>
  <c r="E222" i="8" s="1"/>
  <c r="C223" i="8" l="1"/>
  <c r="D223" i="8" s="1"/>
  <c r="E223" i="8" s="1"/>
  <c r="J225" i="8"/>
  <c r="K225" i="8" s="1"/>
  <c r="L225" i="8" s="1"/>
  <c r="J226" i="8" l="1"/>
  <c r="K226" i="8" s="1"/>
  <c r="L226" i="8" s="1"/>
  <c r="C224" i="8"/>
  <c r="D224" i="8" s="1"/>
  <c r="E224" i="8" s="1"/>
  <c r="C225" i="8" l="1"/>
  <c r="D225" i="8" s="1"/>
  <c r="E225" i="8" s="1"/>
  <c r="J227" i="8"/>
  <c r="K227" i="8" s="1"/>
  <c r="L227" i="8" s="1"/>
  <c r="J228" i="8" l="1"/>
  <c r="K228" i="8" s="1"/>
  <c r="L228" i="8" s="1"/>
  <c r="C226" i="8"/>
  <c r="D226" i="8" s="1"/>
  <c r="E226" i="8" s="1"/>
  <c r="C227" i="8" l="1"/>
  <c r="D227" i="8" s="1"/>
  <c r="E227" i="8" s="1"/>
  <c r="J229" i="8"/>
  <c r="K229" i="8" s="1"/>
  <c r="L229" i="8" s="1"/>
  <c r="J230" i="8" l="1"/>
  <c r="K230" i="8" s="1"/>
  <c r="L230" i="8" s="1"/>
  <c r="C228" i="8"/>
  <c r="D228" i="8" s="1"/>
  <c r="E228" i="8" s="1"/>
  <c r="C229" i="8" l="1"/>
  <c r="D229" i="8" s="1"/>
  <c r="E229" i="8" s="1"/>
  <c r="J231" i="8"/>
  <c r="K231" i="8" s="1"/>
  <c r="L231" i="8" s="1"/>
  <c r="J232" i="8" l="1"/>
  <c r="K232" i="8" s="1"/>
  <c r="L232" i="8" s="1"/>
  <c r="C230" i="8"/>
  <c r="D230" i="8" s="1"/>
  <c r="E230" i="8" s="1"/>
  <c r="C231" i="8" l="1"/>
  <c r="D231" i="8" s="1"/>
  <c r="E231" i="8" s="1"/>
  <c r="J233" i="8"/>
  <c r="K233" i="8" s="1"/>
  <c r="L233" i="8" s="1"/>
  <c r="J234" i="8" l="1"/>
  <c r="K234" i="8" s="1"/>
  <c r="L234" i="8" s="1"/>
  <c r="C232" i="8"/>
  <c r="D232" i="8" s="1"/>
  <c r="E232" i="8" s="1"/>
  <c r="C233" i="8" l="1"/>
  <c r="D233" i="8" s="1"/>
  <c r="E233" i="8" s="1"/>
  <c r="J235" i="8"/>
  <c r="K235" i="8" s="1"/>
  <c r="L235" i="8" s="1"/>
  <c r="J236" i="8" l="1"/>
  <c r="K236" i="8" s="1"/>
  <c r="L236" i="8" s="1"/>
  <c r="C234" i="8"/>
  <c r="D234" i="8" s="1"/>
  <c r="E234" i="8" s="1"/>
  <c r="C235" i="8" l="1"/>
  <c r="D235" i="8" s="1"/>
  <c r="E235" i="8" s="1"/>
  <c r="J237" i="8"/>
  <c r="K237" i="8" s="1"/>
  <c r="L237" i="8" s="1"/>
  <c r="J238" i="8" l="1"/>
  <c r="K238" i="8" s="1"/>
  <c r="L238" i="8" s="1"/>
  <c r="C236" i="8"/>
  <c r="D236" i="8" s="1"/>
  <c r="E236" i="8" s="1"/>
  <c r="C237" i="8" l="1"/>
  <c r="D237" i="8" s="1"/>
  <c r="E237" i="8" s="1"/>
  <c r="J239" i="8"/>
  <c r="K239" i="8" s="1"/>
  <c r="L239" i="8" s="1"/>
  <c r="J240" i="8" l="1"/>
  <c r="K240" i="8" s="1"/>
  <c r="L240" i="8" s="1"/>
  <c r="C238" i="8"/>
  <c r="D238" i="8" s="1"/>
  <c r="E238" i="8" s="1"/>
  <c r="C239" i="8" l="1"/>
  <c r="D239" i="8" s="1"/>
  <c r="E239" i="8" s="1"/>
  <c r="J241" i="8"/>
  <c r="K241" i="8" s="1"/>
  <c r="L241" i="8" s="1"/>
  <c r="J242" i="8" l="1"/>
  <c r="K242" i="8" s="1"/>
  <c r="L242" i="8" s="1"/>
  <c r="C240" i="8"/>
  <c r="D240" i="8" s="1"/>
  <c r="E240" i="8" s="1"/>
  <c r="C241" i="8" l="1"/>
  <c r="D241" i="8" s="1"/>
  <c r="E241" i="8" s="1"/>
  <c r="J243" i="8"/>
  <c r="K243" i="8" s="1"/>
  <c r="L243" i="8" s="1"/>
  <c r="J244" i="8" l="1"/>
  <c r="K244" i="8" s="1"/>
  <c r="L244" i="8" s="1"/>
  <c r="C242" i="8"/>
  <c r="D242" i="8" s="1"/>
  <c r="E242" i="8" s="1"/>
  <c r="C243" i="8" l="1"/>
  <c r="D243" i="8" s="1"/>
  <c r="E243" i="8" s="1"/>
  <c r="J245" i="8"/>
  <c r="K245" i="8" s="1"/>
  <c r="L245" i="8" s="1"/>
  <c r="J246" i="8" l="1"/>
  <c r="K246" i="8" s="1"/>
  <c r="L246" i="8" s="1"/>
  <c r="C244" i="8"/>
  <c r="D244" i="8" s="1"/>
  <c r="E244" i="8" s="1"/>
  <c r="C245" i="8" l="1"/>
  <c r="D245" i="8" s="1"/>
  <c r="E245" i="8"/>
  <c r="J247" i="8"/>
  <c r="K247" i="8" s="1"/>
  <c r="L247" i="8" s="1"/>
  <c r="J248" i="8" l="1"/>
  <c r="K248" i="8" s="1"/>
  <c r="L248" i="8" s="1"/>
  <c r="C246" i="8"/>
  <c r="D246" i="8" s="1"/>
  <c r="E246" i="8" s="1"/>
  <c r="C247" i="8" l="1"/>
  <c r="D247" i="8" s="1"/>
  <c r="E247" i="8" s="1"/>
  <c r="J249" i="8"/>
  <c r="K249" i="8" s="1"/>
  <c r="L249" i="8" s="1"/>
  <c r="J250" i="8" l="1"/>
  <c r="K250" i="8" s="1"/>
  <c r="L250" i="8" s="1"/>
  <c r="C248" i="8"/>
  <c r="D248" i="8" s="1"/>
  <c r="E248" i="8" s="1"/>
  <c r="C249" i="8" l="1"/>
  <c r="D249" i="8" s="1"/>
  <c r="E249" i="8" s="1"/>
  <c r="J251" i="8"/>
  <c r="K251" i="8" s="1"/>
  <c r="L251" i="8" s="1"/>
  <c r="J252" i="8" l="1"/>
  <c r="K252" i="8" s="1"/>
  <c r="L252" i="8" s="1"/>
  <c r="C250" i="8"/>
  <c r="D250" i="8" s="1"/>
  <c r="E250" i="8" s="1"/>
  <c r="C251" i="8" l="1"/>
  <c r="D251" i="8" s="1"/>
  <c r="E251" i="8"/>
  <c r="J253" i="8"/>
  <c r="K253" i="8" s="1"/>
  <c r="L253" i="8" s="1"/>
  <c r="J254" i="8" l="1"/>
  <c r="C252" i="8"/>
  <c r="D252" i="8" s="1"/>
  <c r="E252" i="8" s="1"/>
  <c r="C253" i="8" l="1"/>
  <c r="D253" i="8" s="1"/>
  <c r="E253" i="8" s="1"/>
  <c r="K254" i="8"/>
  <c r="L254" i="8" s="1"/>
  <c r="J11" i="8"/>
  <c r="E55" i="1" s="1"/>
  <c r="F55" i="1" l="1"/>
  <c r="N82" i="1" s="1"/>
  <c r="N83" i="1" s="1"/>
  <c r="N85" i="1" s="1"/>
  <c r="N88" i="1" s="1"/>
  <c r="E61" i="1"/>
  <c r="C254" i="8"/>
  <c r="F61" i="1" l="1"/>
  <c r="E63" i="1"/>
  <c r="F63" i="1" s="1"/>
  <c r="E65" i="1"/>
  <c r="F65" i="1" s="1"/>
  <c r="N77" i="1" s="1"/>
  <c r="N79" i="1" s="1"/>
  <c r="D254" i="8"/>
  <c r="E254" i="8" s="1"/>
  <c r="C11" i="8"/>
  <c r="B55" i="1" s="1"/>
  <c r="C55" i="1" l="1"/>
  <c r="M82" i="1" s="1"/>
  <c r="M83" i="1" s="1"/>
  <c r="B61" i="1"/>
  <c r="Q19" i="8"/>
  <c r="R19" i="8" s="1"/>
  <c r="C61" i="1" l="1"/>
  <c r="B63" i="1"/>
  <c r="C63" i="1" s="1"/>
  <c r="B65" i="1"/>
  <c r="C65" i="1" s="1"/>
  <c r="M77" i="1" s="1"/>
  <c r="M79" i="1" s="1"/>
  <c r="M85" i="1"/>
  <c r="M88" i="1" s="1"/>
  <c r="M92" i="1"/>
  <c r="N92" i="1" s="1"/>
  <c r="P20" i="8"/>
  <c r="Q20" i="8" l="1"/>
  <c r="R20" i="8" s="1"/>
  <c r="P21" i="8" l="1"/>
  <c r="Q21" i="8" l="1"/>
  <c r="R21" i="8" s="1"/>
  <c r="P22" i="8" l="1"/>
  <c r="Q22" i="8" l="1"/>
  <c r="R22" i="8" s="1"/>
  <c r="P23" i="8" l="1"/>
  <c r="Q23" i="8" l="1"/>
  <c r="R23" i="8" s="1"/>
  <c r="P24" i="8" l="1"/>
  <c r="Q24" i="8" l="1"/>
  <c r="R24" i="8" s="1"/>
  <c r="P25" i="8" l="1"/>
  <c r="Q25" i="8" s="1"/>
  <c r="R25" i="8" s="1"/>
  <c r="P26" i="8" l="1"/>
  <c r="Q26" i="8" s="1"/>
  <c r="R26" i="8" s="1"/>
  <c r="P27" i="8" l="1"/>
  <c r="Q27" i="8" s="1"/>
  <c r="R27" i="8" s="1"/>
  <c r="P28" i="8" l="1"/>
  <c r="Q28" i="8" s="1"/>
  <c r="R28" i="8" s="1"/>
  <c r="P29" i="8" l="1"/>
  <c r="Q29" i="8" s="1"/>
  <c r="R29" i="8" s="1"/>
  <c r="P30" i="8" l="1"/>
  <c r="Q30" i="8" s="1"/>
  <c r="R30" i="8" s="1"/>
  <c r="P31" i="8" l="1"/>
  <c r="Q31" i="8" s="1"/>
  <c r="R31" i="8" s="1"/>
  <c r="P32" i="8" l="1"/>
  <c r="Q32" i="8" s="1"/>
  <c r="R32" i="8" s="1"/>
  <c r="P33" i="8" l="1"/>
  <c r="Q33" i="8" s="1"/>
  <c r="R33" i="8" s="1"/>
  <c r="P34" i="8" l="1"/>
  <c r="Q34" i="8" s="1"/>
  <c r="R34" i="8" s="1"/>
  <c r="P35" i="8" l="1"/>
  <c r="Q35" i="8" s="1"/>
  <c r="R35" i="8" s="1"/>
  <c r="P36" i="8" l="1"/>
  <c r="Q36" i="8" s="1"/>
  <c r="R36" i="8" s="1"/>
  <c r="P37" i="8" l="1"/>
  <c r="Q37" i="8" s="1"/>
  <c r="R37" i="8" s="1"/>
  <c r="P38" i="8" l="1"/>
  <c r="Q38" i="8" s="1"/>
  <c r="R38" i="8" s="1"/>
  <c r="P39" i="8" l="1"/>
  <c r="Q39" i="8" s="1"/>
  <c r="R39" i="8" s="1"/>
  <c r="P40" i="8" l="1"/>
  <c r="Q40" i="8" s="1"/>
  <c r="R40" i="8" s="1"/>
  <c r="P41" i="8" l="1"/>
  <c r="Q41" i="8" s="1"/>
  <c r="R41" i="8" s="1"/>
  <c r="P42" i="8" l="1"/>
  <c r="Q42" i="8" s="1"/>
  <c r="R42" i="8" s="1"/>
  <c r="P43" i="8" l="1"/>
  <c r="Q43" i="8" s="1"/>
  <c r="R43" i="8" s="1"/>
  <c r="P44" i="8" l="1"/>
  <c r="Q44" i="8" s="1"/>
  <c r="R44" i="8" s="1"/>
  <c r="P45" i="8" l="1"/>
  <c r="Q45" i="8" s="1"/>
  <c r="R45" i="8" s="1"/>
  <c r="P46" i="8" l="1"/>
  <c r="Q46" i="8" s="1"/>
  <c r="R46" i="8" s="1"/>
  <c r="P47" i="8" l="1"/>
  <c r="Q47" i="8" s="1"/>
  <c r="R47" i="8" s="1"/>
  <c r="P48" i="8" l="1"/>
  <c r="Q48" i="8" s="1"/>
  <c r="R48" i="8" s="1"/>
  <c r="P49" i="8" l="1"/>
  <c r="Q49" i="8" s="1"/>
  <c r="R49" i="8" s="1"/>
  <c r="P50" i="8" l="1"/>
  <c r="Q50" i="8" s="1"/>
  <c r="R50" i="8" s="1"/>
  <c r="P51" i="8" l="1"/>
  <c r="Q51" i="8" s="1"/>
  <c r="R51" i="8" s="1"/>
  <c r="P52" i="8" l="1"/>
  <c r="Q52" i="8" s="1"/>
  <c r="R52" i="8" s="1"/>
  <c r="P53" i="8" l="1"/>
  <c r="Q53" i="8" s="1"/>
  <c r="R53" i="8" s="1"/>
  <c r="P54" i="8" l="1"/>
  <c r="Q54" i="8" s="1"/>
  <c r="R54" i="8" s="1"/>
  <c r="P55" i="8" l="1"/>
  <c r="Q55" i="8" s="1"/>
  <c r="R55" i="8" s="1"/>
  <c r="P56" i="8" l="1"/>
  <c r="Q56" i="8" s="1"/>
  <c r="R56" i="8" s="1"/>
  <c r="P57" i="8" l="1"/>
  <c r="Q57" i="8" s="1"/>
  <c r="R57" i="8" s="1"/>
  <c r="P58" i="8" l="1"/>
  <c r="Q58" i="8" s="1"/>
  <c r="R58" i="8" s="1"/>
  <c r="P59" i="8" l="1"/>
  <c r="Q59" i="8" s="1"/>
  <c r="R59" i="8" s="1"/>
  <c r="P60" i="8" l="1"/>
  <c r="Q60" i="8" s="1"/>
  <c r="R60" i="8" s="1"/>
  <c r="P61" i="8" l="1"/>
  <c r="Q61" i="8" s="1"/>
  <c r="R61" i="8" s="1"/>
  <c r="P62" i="8" l="1"/>
  <c r="Q62" i="8" s="1"/>
  <c r="R62" i="8" s="1"/>
  <c r="P63" i="8" l="1"/>
  <c r="Q63" i="8" s="1"/>
  <c r="R63" i="8" s="1"/>
  <c r="P64" i="8" l="1"/>
  <c r="Q64" i="8" s="1"/>
  <c r="R64" i="8" s="1"/>
  <c r="P65" i="8" l="1"/>
  <c r="Q65" i="8" s="1"/>
  <c r="R65" i="8" s="1"/>
  <c r="P66" i="8" l="1"/>
  <c r="Q66" i="8" s="1"/>
  <c r="R66" i="8" s="1"/>
  <c r="P67" i="8" l="1"/>
  <c r="Q67" i="8" s="1"/>
  <c r="R67" i="8" s="1"/>
  <c r="P68" i="8" l="1"/>
  <c r="Q68" i="8" s="1"/>
  <c r="R68" i="8" s="1"/>
  <c r="P69" i="8" l="1"/>
  <c r="Q69" i="8" s="1"/>
  <c r="R69" i="8" s="1"/>
  <c r="P70" i="8" l="1"/>
  <c r="Q70" i="8" s="1"/>
  <c r="R70" i="8" s="1"/>
  <c r="P71" i="8" l="1"/>
  <c r="Q71" i="8" s="1"/>
  <c r="R71" i="8" s="1"/>
  <c r="P72" i="8" l="1"/>
  <c r="Q72" i="8" s="1"/>
  <c r="R72" i="8" s="1"/>
  <c r="P73" i="8" l="1"/>
  <c r="Q73" i="8" s="1"/>
  <c r="R73" i="8" s="1"/>
  <c r="P74" i="8" l="1"/>
  <c r="P11" i="8" s="1"/>
  <c r="H55" i="1" s="1"/>
  <c r="K55" i="1" l="1"/>
  <c r="I55" i="1"/>
  <c r="O82" i="1" s="1"/>
  <c r="H61" i="1"/>
  <c r="Q74" i="8"/>
  <c r="R74" i="8" s="1"/>
  <c r="I61" i="1" l="1"/>
  <c r="H63" i="1"/>
  <c r="H65" i="1"/>
  <c r="P82" i="1"/>
  <c r="P83" i="1" s="1"/>
  <c r="P85" i="1" s="1"/>
  <c r="P88" i="1" s="1"/>
  <c r="O83" i="1"/>
  <c r="L55" i="1"/>
  <c r="M55" i="1" s="1"/>
  <c r="K61" i="1"/>
  <c r="L61" i="1" s="1"/>
  <c r="I65" i="1" l="1"/>
  <c r="O77" i="1" s="1"/>
  <c r="K65" i="1"/>
  <c r="L65" i="1" s="1"/>
  <c r="I63" i="1"/>
  <c r="K63" i="1"/>
  <c r="L63" i="1" s="1"/>
  <c r="O85" i="1"/>
  <c r="O88" i="1" s="1"/>
  <c r="M91" i="1"/>
  <c r="N91" i="1" s="1"/>
  <c r="N94" i="1" s="1"/>
  <c r="O79" i="1" l="1"/>
  <c r="P77" i="1"/>
  <c r="P79" i="1" s="1"/>
</calcChain>
</file>

<file path=xl/sharedStrings.xml><?xml version="1.0" encoding="utf-8"?>
<sst xmlns="http://schemas.openxmlformats.org/spreadsheetml/2006/main" count="198" uniqueCount="149">
  <si>
    <t>OLS Homeowners</t>
  </si>
  <si>
    <t>Per EDU Cost of Sewers, Stormwater and Road Projects</t>
  </si>
  <si>
    <t>Shared</t>
  </si>
  <si>
    <t>Internal</t>
  </si>
  <si>
    <t>Stormwater</t>
  </si>
  <si>
    <t>Total</t>
  </si>
  <si>
    <t>Sewers</t>
  </si>
  <si>
    <t>&amp; Roads</t>
  </si>
  <si>
    <t>All Projects</t>
  </si>
  <si>
    <t>Gross Costs of Project</t>
  </si>
  <si>
    <t>Funded by the State</t>
  </si>
  <si>
    <t>Net Costs of the Project</t>
  </si>
  <si>
    <t>Project Costs</t>
  </si>
  <si>
    <t>Financing Costs</t>
  </si>
  <si>
    <t>Up front Costs To Connect</t>
  </si>
  <si>
    <t>Total before Operating Costs</t>
  </si>
  <si>
    <t>Operating Costs over 20 Yrs</t>
  </si>
  <si>
    <t>Total Cost to Homeowners</t>
  </si>
  <si>
    <t>Payments</t>
  </si>
  <si>
    <t>Per Year</t>
  </si>
  <si>
    <t>Annual Payments Years 1-5</t>
  </si>
  <si>
    <t>Annual Payments Years 6 - 20</t>
  </si>
  <si>
    <t>Upfront Connection Costs</t>
  </si>
  <si>
    <t>Per EDU</t>
  </si>
  <si>
    <t>2025 Bids Received</t>
  </si>
  <si>
    <t>2021 project bids</t>
  </si>
  <si>
    <t xml:space="preserve">    Costs before financing</t>
  </si>
  <si>
    <t>Financing Costs during Construction</t>
  </si>
  <si>
    <t>Summary of costs above</t>
  </si>
  <si>
    <t>CWF 25% Grant</t>
  </si>
  <si>
    <t>Loan Forgiveness (limited to 21.1% of $15M)</t>
  </si>
  <si>
    <t>Net Costs after State Reimbursement</t>
  </si>
  <si>
    <t>Costs Spent to Date, owed to State</t>
  </si>
  <si>
    <t xml:space="preserve">     Interest owed to State</t>
  </si>
  <si>
    <t xml:space="preserve">     Additional bills (legal, engineering, other)</t>
  </si>
  <si>
    <t xml:space="preserve">     </t>
  </si>
  <si>
    <t>Total Net Summary of Costs</t>
  </si>
  <si>
    <t>Gross Bond Resolution Costs (w/o State Grants)</t>
  </si>
  <si>
    <t>Additional Costs to Homeowners</t>
  </si>
  <si>
    <t>Financing Costs for 20 years (5 yrs. for Roads)</t>
  </si>
  <si>
    <t>Costs to Connect</t>
  </si>
  <si>
    <t>Operating Costs and Capital Charges for 20 years</t>
  </si>
  <si>
    <t>Total Additional Costs</t>
  </si>
  <si>
    <t xml:space="preserve">Total Out of Pocket Cost to Homeowners </t>
  </si>
  <si>
    <t>Gross Cost of the Project</t>
  </si>
  <si>
    <t>Forced Main &amp; Bioxide</t>
  </si>
  <si>
    <t>Trunk Sewer</t>
  </si>
  <si>
    <t>Pump Station</t>
  </si>
  <si>
    <t xml:space="preserve">  Total of Bids</t>
  </si>
  <si>
    <t>Low Bids on Shared Project</t>
  </si>
  <si>
    <t>OLS Portion</t>
  </si>
  <si>
    <t>OLS Costs</t>
  </si>
  <si>
    <t>Contingency Per F&amp;O - 8% (Costs &amp; Engineering)</t>
  </si>
  <si>
    <t>Shared Project Cotss to date</t>
  </si>
  <si>
    <t>Tota</t>
  </si>
  <si>
    <t>Loan Balance 3/21/2025</t>
  </si>
  <si>
    <t>OLS Payments owed on Shared Project</t>
  </si>
  <si>
    <t>Interest</t>
  </si>
  <si>
    <t>Balance</t>
  </si>
  <si>
    <t>OLS %</t>
  </si>
  <si>
    <t>OLS Costs on Internal to Date</t>
  </si>
  <si>
    <t>Loan</t>
  </si>
  <si>
    <t>Old Colony</t>
  </si>
  <si>
    <t>Sound View</t>
  </si>
  <si>
    <t>2021 Bids - From F&amp;O Sept. 4, 2024 Sheet</t>
  </si>
  <si>
    <t>2025 Bids</t>
  </si>
  <si>
    <t>Difference</t>
  </si>
  <si>
    <t>% difference</t>
  </si>
  <si>
    <t>Bid Escalation - 40%</t>
  </si>
  <si>
    <t>Operating Costs</t>
  </si>
  <si>
    <t>Annual Estimated Operating Costs</t>
  </si>
  <si>
    <t>Capital Costs &amp; Reserve</t>
  </si>
  <si>
    <t>20 years of costs</t>
  </si>
  <si>
    <t>OLS Portion - 21.1%</t>
  </si>
  <si>
    <t>Fees to East Lyme &amp; New London ($400 per EDU) (909 EDU's)</t>
  </si>
  <si>
    <t>Less State assistance on Roads</t>
  </si>
  <si>
    <t>Per OLS EDU</t>
  </si>
  <si>
    <t>Per OLS EDU per year</t>
  </si>
  <si>
    <t>Latest F&amp;O Adjustment - April 29</t>
  </si>
  <si>
    <t>Internal Sewers</t>
  </si>
  <si>
    <t>Short Term Financing</t>
  </si>
  <si>
    <t>Land Lease Acquisition</t>
  </si>
  <si>
    <t>Eligible engineering Upcoming</t>
  </si>
  <si>
    <t>Eligible engineering Authorized</t>
  </si>
  <si>
    <t>Legal &amp; Admin</t>
  </si>
  <si>
    <t>Internal Escalation</t>
  </si>
  <si>
    <t>CWF Reduction</t>
  </si>
  <si>
    <t>Loan Forgiveness</t>
  </si>
  <si>
    <t xml:space="preserve">    Subtotal CWF Eligible</t>
  </si>
  <si>
    <t xml:space="preserve">     Subtotal after Forgiveness</t>
  </si>
  <si>
    <t>Ineligible Engineering</t>
  </si>
  <si>
    <t>Storm Drainage - including 17% &amp; 8%</t>
  </si>
  <si>
    <t>Total Project Costs</t>
  </si>
  <si>
    <t>Buy Ins</t>
  </si>
  <si>
    <t>Total Project Costs + Buy ins</t>
  </si>
  <si>
    <t>2021 Bid</t>
  </si>
  <si>
    <t>Future Legal</t>
  </si>
  <si>
    <t>Future Admin</t>
  </si>
  <si>
    <t>8% Contingency</t>
  </si>
  <si>
    <t>Financing During Constr.</t>
  </si>
  <si>
    <t>Engineering</t>
  </si>
  <si>
    <t>Already Paid</t>
  </si>
  <si>
    <t>F&amp;O included costs that are already paid (our number also included some legal and interest costs)</t>
  </si>
  <si>
    <t>Our amount is limited to $3.165 million ($15 million multiplied by our % EDU's -  21.1%)</t>
  </si>
  <si>
    <t>F&amp;O Number</t>
  </si>
  <si>
    <t xml:space="preserve"> </t>
  </si>
  <si>
    <t>See Below for calculation &amp; Comparison</t>
  </si>
  <si>
    <t>Same as F&amp;O</t>
  </si>
  <si>
    <t>F&amp;O costs determined incorrectly</t>
  </si>
  <si>
    <t>Per F&amp;O</t>
  </si>
  <si>
    <t>OLS WPCA</t>
  </si>
  <si>
    <t>Larger deductions for us, as our estimated costs are larger</t>
  </si>
  <si>
    <t>OLS WPCA Estimated Storm Drainage &amp; Road Costs</t>
  </si>
  <si>
    <t xml:space="preserve">   5% Inflation factor</t>
  </si>
  <si>
    <t>Total Construction Bids / Costs</t>
  </si>
  <si>
    <t>Total Amount Reserved for Construction Bids</t>
  </si>
  <si>
    <t>OLS Additional Contingency - 15%</t>
  </si>
  <si>
    <t>Annual</t>
  </si>
  <si>
    <t>Monthly</t>
  </si>
  <si>
    <t>Annually per EDU</t>
  </si>
  <si>
    <t>Starting Principal</t>
  </si>
  <si>
    <t>Rate</t>
  </si>
  <si>
    <t>Maturity</t>
  </si>
  <si>
    <t>Total Interest</t>
  </si>
  <si>
    <t>Quarter</t>
  </si>
  <si>
    <t>Payment</t>
  </si>
  <si>
    <t>Interest Paid</t>
  </si>
  <si>
    <t>Principal Paid</t>
  </si>
  <si>
    <t>Principal Balance</t>
  </si>
  <si>
    <t>OLS Shared</t>
  </si>
  <si>
    <t>OLS Internal Sewers</t>
  </si>
  <si>
    <t>OLS Roadworks</t>
  </si>
  <si>
    <t>Contingency - 8% F&amp;O, 23% OLS</t>
  </si>
  <si>
    <t>F&amp;O utilized an 8% Contingency.  We added another 15%</t>
  </si>
  <si>
    <t>We added 5% escalation for delays</t>
  </si>
  <si>
    <t>2021 Bids</t>
  </si>
  <si>
    <t>Just increasing F&amp;O's numbers for a low number ($50,000 included in Stormwater project)</t>
  </si>
  <si>
    <t>F&amp;O utilized 17%.  Actual Bids to date are 40% over, plus we added another 5% delay inflation)</t>
  </si>
  <si>
    <t>15% Contingency</t>
  </si>
  <si>
    <t>40% escalation + 5% inflation</t>
  </si>
  <si>
    <t>of Shared</t>
  </si>
  <si>
    <t xml:space="preserve">     Project &amp; Financing Costs</t>
  </si>
  <si>
    <t xml:space="preserve">   40% Bid escalation (See Bed Escalation Sheet)</t>
  </si>
  <si>
    <t>Future Eligible Engineering (from F&amp;O)</t>
  </si>
  <si>
    <t>Future Ineligible Engineering (From F&amp;O)</t>
  </si>
  <si>
    <t>Future Admin Costs (Estimate)</t>
  </si>
  <si>
    <t>Future Legal Spending (Estimate)</t>
  </si>
  <si>
    <t>New London Buy In (per agreement)</t>
  </si>
  <si>
    <t>East Lyme Buy in (per agreement)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</si>
</sst>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  <numFmt numFmtId="167" formatCode="&quot;$&quot;#,##0"/>
    <numFmt numFmtId="168" formatCode="&quot;$&quot;#,##0.00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 val="singleAccounting"/>
      <sz val="12"/>
      <color theme="1"/>
      <name val="Calibri"/>
      <family val="2"/>
      <scheme val="minor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0" borderId="0" xfId="0" applyFont="1"/>
    <xf numFmtId="164" fontId="0" fillId="0" borderId="0" xfId="0" applyNumberFormat="1"/>
    <xf numFmtId="0" fontId="7" fillId="2" borderId="0" xfId="0" applyFont="1" applyFill="1"/>
    <xf numFmtId="164" fontId="0" fillId="2" borderId="1" xfId="0" applyNumberFormat="1" applyFill="1" applyBorder="1"/>
    <xf numFmtId="164" fontId="0" fillId="0" borderId="2" xfId="0" applyNumberFormat="1" applyBorder="1"/>
    <xf numFmtId="0" fontId="0" fillId="0" borderId="2" xfId="0" applyBorder="1"/>
    <xf numFmtId="164" fontId="0" fillId="0" borderId="2" xfId="1" applyNumberFormat="1" applyFont="1" applyBorder="1" applyAlignment="1"/>
    <xf numFmtId="0" fontId="7" fillId="3" borderId="0" xfId="0" applyFont="1" applyFill="1"/>
    <xf numFmtId="0" fontId="0" fillId="3" borderId="0" xfId="0" applyFill="1"/>
    <xf numFmtId="164" fontId="0" fillId="3" borderId="3" xfId="0" applyNumberFormat="1" applyFill="1" applyBorder="1"/>
    <xf numFmtId="0" fontId="6" fillId="4" borderId="0" xfId="0" applyFont="1" applyFill="1"/>
    <xf numFmtId="0" fontId="0" fillId="4" borderId="0" xfId="0" applyFill="1"/>
    <xf numFmtId="164" fontId="8" fillId="4" borderId="0" xfId="0" applyNumberFormat="1" applyFont="1" applyFill="1" applyAlignment="1">
      <alignment horizontal="center"/>
    </xf>
    <xf numFmtId="0" fontId="7" fillId="4" borderId="0" xfId="0" applyFont="1" applyFill="1"/>
    <xf numFmtId="164" fontId="0" fillId="4" borderId="0" xfId="0" applyNumberFormat="1" applyFill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0" fillId="0" borderId="0" xfId="1" applyNumberFormat="1" applyFont="1" applyAlignment="1"/>
    <xf numFmtId="164" fontId="0" fillId="5" borderId="0" xfId="1" applyNumberFormat="1" applyFont="1" applyFill="1" applyAlignment="1"/>
    <xf numFmtId="164" fontId="0" fillId="0" borderId="0" xfId="1" applyNumberFormat="1" applyFont="1" applyFill="1" applyAlignment="1"/>
    <xf numFmtId="43" fontId="0" fillId="0" borderId="0" xfId="1" applyFont="1" applyAlignment="1"/>
    <xf numFmtId="164" fontId="0" fillId="5" borderId="2" xfId="1" applyNumberFormat="1" applyFont="1" applyFill="1" applyBorder="1" applyAlignment="1"/>
    <xf numFmtId="164" fontId="0" fillId="6" borderId="2" xfId="1" applyNumberFormat="1" applyFont="1" applyFill="1" applyBorder="1" applyAlignment="1"/>
    <xf numFmtId="164" fontId="0" fillId="0" borderId="0" xfId="1" applyNumberFormat="1" applyFont="1" applyBorder="1" applyAlignment="1"/>
    <xf numFmtId="164" fontId="0" fillId="0" borderId="3" xfId="1" applyNumberFormat="1" applyFont="1" applyBorder="1" applyAlignment="1"/>
    <xf numFmtId="164" fontId="0" fillId="7" borderId="4" xfId="1" applyNumberFormat="1" applyFont="1" applyFill="1" applyBorder="1" applyAlignment="1"/>
    <xf numFmtId="164" fontId="0" fillId="5" borderId="0" xfId="1" applyNumberFormat="1" applyFont="1" applyFill="1" applyBorder="1" applyAlignment="1"/>
    <xf numFmtId="164" fontId="0" fillId="0" borderId="0" xfId="1" applyNumberFormat="1" applyFont="1" applyFill="1" applyBorder="1" applyAlignment="1"/>
    <xf numFmtId="164" fontId="0" fillId="0" borderId="2" xfId="1" applyNumberFormat="1" applyFont="1" applyFill="1" applyBorder="1" applyAlignment="1"/>
    <xf numFmtId="164" fontId="0" fillId="2" borderId="3" xfId="1" applyNumberFormat="1" applyFont="1" applyFill="1" applyBorder="1" applyAlignment="1"/>
    <xf numFmtId="164" fontId="0" fillId="2" borderId="0" xfId="1" applyNumberFormat="1" applyFont="1" applyFill="1" applyAlignment="1"/>
    <xf numFmtId="164" fontId="0" fillId="0" borderId="3" xfId="1" applyNumberFormat="1" applyFont="1" applyFill="1" applyBorder="1" applyAlignment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64" fontId="0" fillId="0" borderId="0" xfId="1" applyNumberFormat="1" applyFont="1"/>
    <xf numFmtId="0" fontId="10" fillId="0" borderId="0" xfId="0" applyFont="1"/>
    <xf numFmtId="165" fontId="0" fillId="0" borderId="0" xfId="2" applyNumberFormat="1" applyFont="1"/>
    <xf numFmtId="0" fontId="11" fillId="0" borderId="0" xfId="0" applyFont="1"/>
    <xf numFmtId="164" fontId="0" fillId="0" borderId="0" xfId="1" applyNumberFormat="1" applyFont="1" applyBorder="1"/>
    <xf numFmtId="164" fontId="0" fillId="0" borderId="2" xfId="1" applyNumberFormat="1" applyFont="1" applyBorder="1"/>
    <xf numFmtId="164" fontId="8" fillId="0" borderId="0" xfId="1" applyNumberFormat="1" applyFont="1" applyFill="1" applyAlignment="1">
      <alignment horizontal="center"/>
    </xf>
    <xf numFmtId="164" fontId="7" fillId="0" borderId="0" xfId="1" applyNumberFormat="1" applyFont="1" applyFill="1" applyAlignment="1"/>
    <xf numFmtId="165" fontId="0" fillId="0" borderId="0" xfId="2" applyNumberFormat="1" applyFont="1" applyFill="1" applyAlignment="1"/>
    <xf numFmtId="165" fontId="0" fillId="8" borderId="0" xfId="2" applyNumberFormat="1" applyFont="1" applyFill="1" applyAlignment="1"/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0" fillId="0" borderId="3" xfId="1" applyNumberFormat="1" applyFont="1" applyBorder="1"/>
    <xf numFmtId="164" fontId="0" fillId="0" borderId="1" xfId="0" applyNumberFormat="1" applyBorder="1"/>
    <xf numFmtId="164" fontId="4" fillId="0" borderId="0" xfId="1" applyNumberFormat="1" applyFont="1"/>
    <xf numFmtId="164" fontId="5" fillId="2" borderId="0" xfId="1" applyNumberFormat="1" applyFont="1" applyFill="1" applyAlignment="1">
      <alignment horizontal="center"/>
    </xf>
    <xf numFmtId="164" fontId="6" fillId="2" borderId="0" xfId="1" applyNumberFormat="1" applyFont="1" applyFill="1" applyAlignment="1">
      <alignment horizontal="center"/>
    </xf>
    <xf numFmtId="164" fontId="0" fillId="2" borderId="1" xfId="1" applyNumberFormat="1" applyFont="1" applyFill="1" applyBorder="1"/>
    <xf numFmtId="164" fontId="0" fillId="3" borderId="3" xfId="1" applyNumberFormat="1" applyFont="1" applyFill="1" applyBorder="1"/>
    <xf numFmtId="164" fontId="8" fillId="4" borderId="0" xfId="1" applyNumberFormat="1" applyFont="1" applyFill="1" applyAlignment="1">
      <alignment horizontal="center"/>
    </xf>
    <xf numFmtId="164" fontId="0" fillId="4" borderId="0" xfId="1" applyNumberFormat="1" applyFont="1" applyFill="1"/>
    <xf numFmtId="164" fontId="0" fillId="4" borderId="1" xfId="1" applyNumberFormat="1" applyFont="1" applyFill="1" applyBorder="1"/>
    <xf numFmtId="164" fontId="12" fillId="0" borderId="0" xfId="1" applyNumberFormat="1" applyFont="1"/>
    <xf numFmtId="164" fontId="12" fillId="0" borderId="0" xfId="1" applyNumberFormat="1" applyFont="1" applyAlignment="1">
      <alignment horizontal="center"/>
    </xf>
    <xf numFmtId="0" fontId="9" fillId="0" borderId="0" xfId="0" applyFont="1"/>
    <xf numFmtId="0" fontId="6" fillId="0" borderId="0" xfId="0" applyFont="1"/>
    <xf numFmtId="0" fontId="13" fillId="0" borderId="0" xfId="0" applyFont="1"/>
    <xf numFmtId="166" fontId="13" fillId="0" borderId="0" xfId="0" applyNumberFormat="1" applyFont="1"/>
    <xf numFmtId="44" fontId="13" fillId="0" borderId="0" xfId="0" applyNumberFormat="1" applyFont="1"/>
    <xf numFmtId="0" fontId="13" fillId="0" borderId="0" xfId="0" applyFont="1" applyAlignment="1">
      <alignment horizontal="right"/>
    </xf>
    <xf numFmtId="10" fontId="13" fillId="0" borderId="0" xfId="0" applyNumberFormat="1" applyFont="1"/>
    <xf numFmtId="167" fontId="13" fillId="0" borderId="0" xfId="0" applyNumberFormat="1" applyFont="1"/>
    <xf numFmtId="168" fontId="13" fillId="0" borderId="0" xfId="0" applyNumberFormat="1" applyFont="1"/>
    <xf numFmtId="167" fontId="0" fillId="5" borderId="0" xfId="0" applyNumberFormat="1" applyFill="1"/>
    <xf numFmtId="167" fontId="0" fillId="0" borderId="0" xfId="0" applyNumberFormat="1"/>
    <xf numFmtId="10" fontId="13" fillId="5" borderId="0" xfId="0" applyNumberFormat="1" applyFont="1" applyFill="1"/>
    <xf numFmtId="164" fontId="0" fillId="7" borderId="3" xfId="1" applyNumberFormat="1" applyFont="1" applyFill="1" applyBorder="1" applyAlignment="1"/>
    <xf numFmtId="164" fontId="0" fillId="9" borderId="9" xfId="1" applyNumberFormat="1" applyFont="1" applyFill="1" applyBorder="1" applyAlignme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16</xdr:row>
      <xdr:rowOff>0</xdr:rowOff>
    </xdr:from>
    <xdr:to>
      <xdr:col>14</xdr:col>
      <xdr:colOff>254000</xdr:colOff>
      <xdr:row>39</xdr:row>
      <xdr:rowOff>25400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3156DA-410C-0A48-863A-8CDA3DD3F4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000" y="2438400"/>
          <a:ext cx="10261600" cy="4699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12</xdr:col>
      <xdr:colOff>749300</xdr:colOff>
      <xdr:row>20</xdr:row>
      <xdr:rowOff>88900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055268-FE3D-BA4C-9D20-328B3DA8FD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500" y="1016000"/>
          <a:ext cx="9880600" cy="23241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12</xdr:col>
      <xdr:colOff>660400</xdr:colOff>
      <xdr:row>31</xdr:row>
      <xdr:rowOff>177800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97F8B68-8445-0545-A00E-97BA3B31EB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5500" y="4737100"/>
          <a:ext cx="9791700" cy="180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merritt/Documents/OLS/Accounting/Revised%20Bids%20-%20Feb%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&amp;O March 28"/>
      <sheetName val="Summary of Revised"/>
      <sheetName val="Revised Bids"/>
      <sheetName val="Per Sept 4 FO"/>
      <sheetName val="PROJECT COSTS"/>
      <sheetName val="Annual PMT Per EDU"/>
      <sheetName val="CWF Annual PMT"/>
      <sheetName val="New London Annual PMT"/>
      <sheetName val="East Lyme Annual PMT"/>
      <sheetName val="Stormwater PMT"/>
      <sheetName val="Sewers Self-Funded"/>
      <sheetName val="Sunk Costs"/>
      <sheetName val="Sh trm fin"/>
      <sheetName val="Sheet2"/>
    </sheetNames>
    <sheetDataSet>
      <sheetData sheetId="0"/>
      <sheetData sheetId="1"/>
      <sheetData sheetId="2">
        <row r="108">
          <cell r="L108">
            <v>5361440</v>
          </cell>
        </row>
      </sheetData>
      <sheetData sheetId="3">
        <row r="136">
          <cell r="F136">
            <v>2950025</v>
          </cell>
        </row>
      </sheetData>
      <sheetData sheetId="4"/>
      <sheetData sheetId="5"/>
      <sheetData sheetId="6">
        <row r="11">
          <cell r="C11">
            <v>905054.20996510715</v>
          </cell>
        </row>
      </sheetData>
      <sheetData sheetId="7">
        <row r="7">
          <cell r="C7">
            <v>139072.47464191599</v>
          </cell>
        </row>
      </sheetData>
      <sheetData sheetId="8">
        <row r="7">
          <cell r="C7">
            <v>34930.661649915957</v>
          </cell>
        </row>
      </sheetData>
      <sheetData sheetId="9">
        <row r="15">
          <cell r="N15">
            <v>491200.67572911445</v>
          </cell>
        </row>
      </sheetData>
      <sheetData sheetId="10"/>
      <sheetData sheetId="11"/>
      <sheetData sheetId="12">
        <row r="9">
          <cell r="E9">
            <v>86591.957057154345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AB618-8AB9-6E4C-95F8-EAFD040DAFE1}">
  <sheetPr>
    <pageSetUpPr fitToPage="1"/>
  </sheetPr>
  <dimension ref="A2:P114"/>
  <sheetViews>
    <sheetView tabSelected="1" workbookViewId="0">
      <selection activeCell="L65" sqref="L65"/>
    </sheetView>
  </sheetViews>
  <sheetFormatPr baseColWidth="10" defaultRowHeight="16" x14ac:dyDescent="0.2"/>
  <cols>
    <col min="1" max="1" width="37.83203125" customWidth="1"/>
    <col min="2" max="2" width="12.1640625" customWidth="1"/>
    <col min="4" max="4" width="3.5" customWidth="1"/>
    <col min="5" max="5" width="12.1640625" customWidth="1"/>
    <col min="7" max="7" width="3.1640625" customWidth="1"/>
    <col min="8" max="8" width="12.1640625" customWidth="1"/>
    <col min="10" max="10" width="3.1640625" customWidth="1"/>
    <col min="11" max="11" width="12.1640625" customWidth="1"/>
    <col min="12" max="12" width="11.1640625" customWidth="1"/>
    <col min="14" max="16" width="11.6640625" style="42" customWidth="1"/>
    <col min="17" max="17" width="3.1640625" customWidth="1"/>
    <col min="18" max="18" width="16" customWidth="1"/>
    <col min="19" max="19" width="13" bestFit="1" customWidth="1"/>
  </cols>
  <sheetData>
    <row r="2" spans="1:16" x14ac:dyDescent="0.2">
      <c r="C2">
        <v>193</v>
      </c>
    </row>
    <row r="3" spans="1:16" x14ac:dyDescent="0.2">
      <c r="N3"/>
      <c r="O3"/>
      <c r="P3"/>
    </row>
    <row r="4" spans="1:16" x14ac:dyDescent="0.2">
      <c r="B4" s="38" t="s">
        <v>50</v>
      </c>
      <c r="C4" s="39"/>
      <c r="D4" s="21"/>
      <c r="E4" s="38" t="s">
        <v>3</v>
      </c>
      <c r="F4" s="39"/>
      <c r="G4" s="21"/>
      <c r="H4" s="38" t="s">
        <v>4</v>
      </c>
      <c r="I4" s="39"/>
      <c r="J4" s="21"/>
      <c r="K4" s="38"/>
      <c r="L4" s="39" t="s">
        <v>5</v>
      </c>
      <c r="N4"/>
      <c r="O4"/>
      <c r="P4"/>
    </row>
    <row r="5" spans="1:16" x14ac:dyDescent="0.2">
      <c r="B5" s="40" t="s">
        <v>140</v>
      </c>
      <c r="C5" s="41" t="s">
        <v>23</v>
      </c>
      <c r="D5" s="22"/>
      <c r="E5" s="40" t="s">
        <v>6</v>
      </c>
      <c r="F5" s="41" t="s">
        <v>23</v>
      </c>
      <c r="G5" s="22"/>
      <c r="H5" s="40" t="s">
        <v>7</v>
      </c>
      <c r="I5" s="41" t="s">
        <v>23</v>
      </c>
      <c r="J5" s="22"/>
      <c r="K5" s="40" t="s">
        <v>5</v>
      </c>
      <c r="L5" s="41" t="s">
        <v>23</v>
      </c>
      <c r="N5"/>
      <c r="O5"/>
      <c r="P5"/>
    </row>
    <row r="6" spans="1:16" x14ac:dyDescent="0.2">
      <c r="N6"/>
      <c r="O6"/>
      <c r="P6"/>
    </row>
    <row r="7" spans="1:16" x14ac:dyDescent="0.2">
      <c r="A7" s="6" t="s">
        <v>24</v>
      </c>
      <c r="B7" s="23">
        <f>+'Shared Bids'!D21</f>
        <v>4110000.35</v>
      </c>
      <c r="C7" s="23">
        <f>+B7/$C$2</f>
        <v>21295.33860103627</v>
      </c>
      <c r="D7" s="23"/>
      <c r="E7" s="23"/>
      <c r="F7" s="23">
        <f>+E7/$C$2</f>
        <v>0</v>
      </c>
      <c r="G7" s="23"/>
      <c r="H7" s="23"/>
      <c r="I7" s="23">
        <f>+H7/$C$2</f>
        <v>0</v>
      </c>
      <c r="J7" s="23"/>
      <c r="K7" s="23">
        <f>+B7</f>
        <v>4110000.35</v>
      </c>
      <c r="L7" s="23">
        <f>+K7/$C$2</f>
        <v>21295.33860103627</v>
      </c>
      <c r="M7" s="23"/>
      <c r="N7"/>
      <c r="O7"/>
      <c r="P7"/>
    </row>
    <row r="8" spans="1:16" x14ac:dyDescent="0.2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/>
      <c r="O8"/>
      <c r="P8"/>
    </row>
    <row r="9" spans="1:16" x14ac:dyDescent="0.2">
      <c r="A9" s="6" t="s">
        <v>25</v>
      </c>
      <c r="B9" s="23"/>
      <c r="C9" s="23"/>
      <c r="D9" s="23"/>
      <c r="E9" s="23">
        <f>+'[1]Revised Bids'!L108</f>
        <v>5361440</v>
      </c>
      <c r="F9" s="23">
        <f>+E9/$C$2</f>
        <v>27779.481865284975</v>
      </c>
      <c r="G9" s="23"/>
      <c r="H9" s="23">
        <v>1725975</v>
      </c>
      <c r="I9" s="23">
        <f>+H9/$C$2</f>
        <v>8942.8756476683939</v>
      </c>
      <c r="J9" s="23"/>
      <c r="K9" s="23">
        <f>+H9+E9</f>
        <v>7087415</v>
      </c>
      <c r="L9" s="23">
        <f>+K9/C2</f>
        <v>36722.357512953371</v>
      </c>
      <c r="M9" s="23"/>
      <c r="N9"/>
      <c r="O9"/>
      <c r="P9"/>
    </row>
    <row r="10" spans="1:16" x14ac:dyDescent="0.2">
      <c r="A10" s="6" t="s">
        <v>142</v>
      </c>
      <c r="B10" s="27"/>
      <c r="C10" s="27"/>
      <c r="D10" s="23"/>
      <c r="E10" s="12">
        <f>+E9*'Bid Escalation'!G9</f>
        <v>2151798.3043465153</v>
      </c>
      <c r="F10" s="12">
        <f>+E10/$C$2</f>
        <v>11149.214012158111</v>
      </c>
      <c r="G10" s="23"/>
      <c r="H10" s="12">
        <f>+H9*'Bid Escalation'!G9</f>
        <v>692715.03147372289</v>
      </c>
      <c r="I10" s="12">
        <f>+H10/$C$2</f>
        <v>3589.1970542679942</v>
      </c>
      <c r="J10" s="23"/>
      <c r="K10" s="12">
        <f>+E10+H10</f>
        <v>2844513.3358202381</v>
      </c>
      <c r="L10" s="12">
        <f>+K10/C2</f>
        <v>14738.411066426104</v>
      </c>
      <c r="M10" s="23"/>
      <c r="N10"/>
      <c r="O10"/>
      <c r="P10"/>
    </row>
    <row r="11" spans="1:16" x14ac:dyDescent="0.2"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7"/>
      <c r="O11"/>
      <c r="P11"/>
    </row>
    <row r="12" spans="1:16" x14ac:dyDescent="0.2">
      <c r="A12" s="6" t="s">
        <v>114</v>
      </c>
      <c r="B12" s="23">
        <f>+B7</f>
        <v>4110000.35</v>
      </c>
      <c r="C12" s="23">
        <f>+B12/$C$2</f>
        <v>21295.33860103627</v>
      </c>
      <c r="D12" s="23"/>
      <c r="E12" s="23">
        <f>+E10+E9</f>
        <v>7513238.3043465149</v>
      </c>
      <c r="F12" s="23">
        <f t="shared" ref="F12:F49" si="0">+E12/$C$2</f>
        <v>38928.695877443082</v>
      </c>
      <c r="G12" s="23"/>
      <c r="H12" s="23">
        <f>+H10+H9</f>
        <v>2418690.0314737228</v>
      </c>
      <c r="I12" s="23">
        <f t="shared" ref="I12:I49" si="1">+H12/$C$2</f>
        <v>12532.072701936388</v>
      </c>
      <c r="J12" s="23"/>
      <c r="K12" s="23">
        <f>+H12+E12+B12</f>
        <v>14041928.685820237</v>
      </c>
      <c r="L12" s="23">
        <f t="shared" ref="L12:L49" si="2">+K12/$C$2</f>
        <v>72756.10718041574</v>
      </c>
      <c r="M12" s="23"/>
      <c r="N12"/>
      <c r="O12"/>
      <c r="P12"/>
    </row>
    <row r="13" spans="1:16" x14ac:dyDescent="0.2">
      <c r="A13" s="6" t="s">
        <v>113</v>
      </c>
      <c r="B13" s="12">
        <f>+B12*0.05</f>
        <v>205500.01750000002</v>
      </c>
      <c r="C13" s="12">
        <f>+B13/C2</f>
        <v>1064.7669300518135</v>
      </c>
      <c r="D13" s="23"/>
      <c r="E13" s="12">
        <f>+E12*0.05</f>
        <v>375661.91521732579</v>
      </c>
      <c r="F13" s="12">
        <f>+E13/C2</f>
        <v>1946.4347938721544</v>
      </c>
      <c r="G13" s="23"/>
      <c r="H13" s="12">
        <f>+H12*0.05</f>
        <v>120934.50157368614</v>
      </c>
      <c r="I13" s="12">
        <f>+H13/C2</f>
        <v>626.6036350968194</v>
      </c>
      <c r="J13" s="23"/>
      <c r="K13" s="12">
        <f>+H13+E13+B13</f>
        <v>702096.43429101189</v>
      </c>
      <c r="L13" s="12">
        <f>+K13/C2</f>
        <v>3637.8053590207869</v>
      </c>
      <c r="M13" s="23"/>
      <c r="N13"/>
      <c r="O13"/>
      <c r="P13"/>
    </row>
    <row r="14" spans="1:16" x14ac:dyDescent="0.2">
      <c r="A14" s="6" t="s">
        <v>115</v>
      </c>
      <c r="B14" s="23">
        <f>+B13+B12</f>
        <v>4315500.3674999997</v>
      </c>
      <c r="C14" s="29">
        <f>+B14/C2</f>
        <v>22360.10553108808</v>
      </c>
      <c r="D14" s="23"/>
      <c r="E14" s="23">
        <f>+E13+E12</f>
        <v>7888900.2195638409</v>
      </c>
      <c r="F14" s="23">
        <f>+E14/C2</f>
        <v>40875.130671315237</v>
      </c>
      <c r="G14" s="23"/>
      <c r="H14" s="23">
        <f>+H13+H12</f>
        <v>2539624.5330474088</v>
      </c>
      <c r="I14" s="23">
        <f>+H14/C2</f>
        <v>13158.676337033206</v>
      </c>
      <c r="J14" s="23"/>
      <c r="K14" s="23">
        <f>+K13+K12</f>
        <v>14744025.120111249</v>
      </c>
      <c r="L14" s="23">
        <f>+K14/C2</f>
        <v>76393.912539436526</v>
      </c>
      <c r="M14" s="23"/>
      <c r="N14"/>
      <c r="O14"/>
      <c r="P14"/>
    </row>
    <row r="15" spans="1:16" x14ac:dyDescent="0.2"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/>
      <c r="O15"/>
      <c r="P15"/>
    </row>
    <row r="16" spans="1:16" x14ac:dyDescent="0.2">
      <c r="A16" s="6" t="s">
        <v>143</v>
      </c>
      <c r="B16" s="25">
        <f>1109727*0.35</f>
        <v>388404.44999999995</v>
      </c>
      <c r="C16" s="25">
        <f>+B16/$C$2</f>
        <v>2012.4582901554402</v>
      </c>
      <c r="D16" s="25"/>
      <c r="E16" s="25">
        <f>1109727*0.65</f>
        <v>721322.55</v>
      </c>
      <c r="F16" s="25">
        <f t="shared" si="0"/>
        <v>3737.4225388601039</v>
      </c>
      <c r="G16" s="25"/>
      <c r="H16" s="25"/>
      <c r="I16" s="25">
        <f t="shared" si="1"/>
        <v>0</v>
      </c>
      <c r="J16" s="25"/>
      <c r="K16" s="25">
        <f>+H16+E16+B16</f>
        <v>1109727</v>
      </c>
      <c r="L16" s="23">
        <f t="shared" si="2"/>
        <v>5749.8808290155439</v>
      </c>
      <c r="M16" s="26"/>
      <c r="N16"/>
      <c r="O16"/>
      <c r="P16"/>
    </row>
    <row r="17" spans="1:16" x14ac:dyDescent="0.2">
      <c r="A17" s="6"/>
      <c r="B17" s="25"/>
      <c r="C17" s="23"/>
      <c r="D17" s="23"/>
      <c r="E17" s="25"/>
      <c r="F17" s="23"/>
      <c r="G17" s="23"/>
      <c r="H17" s="25"/>
      <c r="I17" s="23"/>
      <c r="J17" s="23"/>
      <c r="K17" s="23"/>
      <c r="L17" s="23"/>
      <c r="M17" s="26"/>
      <c r="N17"/>
      <c r="O17"/>
      <c r="P17"/>
    </row>
    <row r="18" spans="1:16" x14ac:dyDescent="0.2">
      <c r="A18" s="6" t="s">
        <v>144</v>
      </c>
      <c r="B18" s="25"/>
      <c r="C18" s="23">
        <f>+B18/$C$2</f>
        <v>0</v>
      </c>
      <c r="D18" s="23"/>
      <c r="E18" s="25"/>
      <c r="F18" s="23">
        <f t="shared" si="0"/>
        <v>0</v>
      </c>
      <c r="G18" s="23"/>
      <c r="H18" s="25">
        <v>338482</v>
      </c>
      <c r="I18" s="23">
        <f t="shared" si="1"/>
        <v>1753.7927461139896</v>
      </c>
      <c r="J18" s="23"/>
      <c r="K18" s="25">
        <f>+H18+E18+B18</f>
        <v>338482</v>
      </c>
      <c r="L18" s="23">
        <f t="shared" si="2"/>
        <v>1753.7927461139896</v>
      </c>
      <c r="M18" s="26"/>
      <c r="N18"/>
      <c r="O18"/>
      <c r="P18"/>
    </row>
    <row r="19" spans="1:16" x14ac:dyDescent="0.2"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6"/>
      <c r="N19"/>
      <c r="O19"/>
      <c r="P19"/>
    </row>
    <row r="20" spans="1:16" x14ac:dyDescent="0.2">
      <c r="A20" s="6" t="s">
        <v>146</v>
      </c>
      <c r="B20" s="25">
        <v>25000</v>
      </c>
      <c r="C20" s="25">
        <f>+B20/$C$2</f>
        <v>129.53367875647669</v>
      </c>
      <c r="D20" s="25"/>
      <c r="E20" s="25">
        <v>75000</v>
      </c>
      <c r="F20" s="25">
        <f t="shared" si="0"/>
        <v>388.60103626943004</v>
      </c>
      <c r="G20" s="25"/>
      <c r="H20" s="25">
        <v>25000</v>
      </c>
      <c r="I20" s="25">
        <f t="shared" si="1"/>
        <v>129.53367875647669</v>
      </c>
      <c r="J20" s="25"/>
      <c r="K20" s="25">
        <f>+H20+E20+B20</f>
        <v>125000</v>
      </c>
      <c r="L20" s="23">
        <f t="shared" si="2"/>
        <v>647.66839378238342</v>
      </c>
      <c r="M20" s="26"/>
      <c r="N20"/>
      <c r="O20"/>
      <c r="P20"/>
    </row>
    <row r="21" spans="1:16" x14ac:dyDescent="0.2"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3"/>
      <c r="M21" s="26"/>
      <c r="N21"/>
      <c r="O21"/>
      <c r="P21"/>
    </row>
    <row r="22" spans="1:16" x14ac:dyDescent="0.2">
      <c r="A22" s="6" t="s">
        <v>145</v>
      </c>
      <c r="B22" s="25">
        <v>42000</v>
      </c>
      <c r="C22" s="25">
        <f>+B22/$C$2</f>
        <v>217.61658031088083</v>
      </c>
      <c r="D22" s="25"/>
      <c r="E22" s="25">
        <v>168000</v>
      </c>
      <c r="F22" s="25">
        <f t="shared" si="0"/>
        <v>870.46632124352334</v>
      </c>
      <c r="G22" s="25"/>
      <c r="H22" s="25">
        <v>25000</v>
      </c>
      <c r="I22" s="25">
        <f t="shared" si="1"/>
        <v>129.53367875647669</v>
      </c>
      <c r="J22" s="25"/>
      <c r="K22" s="25">
        <f>+H22+E22+B22</f>
        <v>235000</v>
      </c>
      <c r="L22" s="23">
        <f t="shared" si="2"/>
        <v>1217.6165803108809</v>
      </c>
      <c r="M22" s="26"/>
      <c r="N22"/>
      <c r="O22"/>
      <c r="P22"/>
    </row>
    <row r="23" spans="1:16" x14ac:dyDescent="0.2">
      <c r="A23" s="6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6"/>
      <c r="N23"/>
      <c r="O23"/>
      <c r="P23"/>
    </row>
    <row r="24" spans="1:16" x14ac:dyDescent="0.2">
      <c r="A24" s="6" t="s">
        <v>52</v>
      </c>
      <c r="B24" s="12">
        <f>+(B16+B14)*0.08</f>
        <v>376312.38539999997</v>
      </c>
      <c r="C24" s="12">
        <f>+B24/$C$2</f>
        <v>1949.8051056994816</v>
      </c>
      <c r="D24" s="23"/>
      <c r="E24" s="12">
        <f>+(E16+E14)*0.08</f>
        <v>688817.82156510733</v>
      </c>
      <c r="F24" s="12">
        <f t="shared" si="0"/>
        <v>3569.0042568140275</v>
      </c>
      <c r="G24" s="23"/>
      <c r="H24" s="12">
        <f>+(H18+H14)*0.08</f>
        <v>230248.5226437927</v>
      </c>
      <c r="I24" s="12">
        <f t="shared" si="1"/>
        <v>1192.9975266517756</v>
      </c>
      <c r="J24" s="23"/>
      <c r="K24" s="12">
        <f>+B24+E24+H24</f>
        <v>1295378.7296088999</v>
      </c>
      <c r="L24" s="12">
        <f t="shared" si="2"/>
        <v>6711.8068891652847</v>
      </c>
      <c r="M24" s="26"/>
      <c r="N24"/>
      <c r="O24"/>
      <c r="P24"/>
    </row>
    <row r="25" spans="1:16" x14ac:dyDescent="0.2">
      <c r="A25" s="6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6"/>
      <c r="N25"/>
      <c r="O25"/>
      <c r="P25"/>
    </row>
    <row r="26" spans="1:16" x14ac:dyDescent="0.2">
      <c r="A26" s="6" t="s">
        <v>26</v>
      </c>
      <c r="B26" s="23">
        <f>SUM(B14:B24)</f>
        <v>5147217.2028999999</v>
      </c>
      <c r="C26" s="23">
        <f>+B26/$C$2</f>
        <v>26669.519186010362</v>
      </c>
      <c r="D26" s="23"/>
      <c r="E26" s="23">
        <f>SUM(E14:E24)</f>
        <v>9542040.5911289472</v>
      </c>
      <c r="F26" s="23">
        <f t="shared" si="0"/>
        <v>49440.624824502316</v>
      </c>
      <c r="G26" s="23"/>
      <c r="H26" s="23">
        <f>SUM(H14:H24)</f>
        <v>3158355.0556912017</v>
      </c>
      <c r="I26" s="23">
        <f t="shared" si="1"/>
        <v>16364.533967311925</v>
      </c>
      <c r="J26" s="23"/>
      <c r="K26" s="23">
        <f>SUM(K14:K24)</f>
        <v>17847612.84972015</v>
      </c>
      <c r="L26" s="23">
        <f t="shared" si="2"/>
        <v>92474.677977824613</v>
      </c>
      <c r="M26" s="26"/>
      <c r="N26"/>
      <c r="O26"/>
      <c r="P26"/>
    </row>
    <row r="27" spans="1:16" x14ac:dyDescent="0.2"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6"/>
      <c r="N27"/>
      <c r="O27"/>
      <c r="P27"/>
    </row>
    <row r="28" spans="1:16" x14ac:dyDescent="0.2">
      <c r="A28" s="6" t="s">
        <v>27</v>
      </c>
      <c r="B28" s="12">
        <f>+B26*0.02</f>
        <v>102944.344058</v>
      </c>
      <c r="C28" s="12">
        <f>+B28/$C$2</f>
        <v>533.3903837202073</v>
      </c>
      <c r="D28" s="23"/>
      <c r="E28" s="12">
        <f>+E26*0.02</f>
        <v>190840.81182257895</v>
      </c>
      <c r="F28" s="12">
        <f t="shared" si="0"/>
        <v>988.81249649004633</v>
      </c>
      <c r="G28" s="23"/>
      <c r="H28" s="27">
        <f>+H26*0.06</f>
        <v>189501.30334147208</v>
      </c>
      <c r="I28" s="12">
        <f t="shared" si="1"/>
        <v>981.87203803871546</v>
      </c>
      <c r="J28" s="23"/>
      <c r="K28" s="12">
        <f>+H28+E28+B28</f>
        <v>483286.45922205108</v>
      </c>
      <c r="L28" s="12">
        <f t="shared" si="2"/>
        <v>2504.0749182489694</v>
      </c>
      <c r="M28" s="23"/>
      <c r="N28"/>
      <c r="O28"/>
      <c r="P28"/>
    </row>
    <row r="29" spans="1:16" x14ac:dyDescent="0.2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/>
      <c r="O29"/>
      <c r="P29"/>
    </row>
    <row r="30" spans="1:16" x14ac:dyDescent="0.2">
      <c r="A30" s="6" t="s">
        <v>28</v>
      </c>
      <c r="B30" s="23">
        <f>+B28+B26</f>
        <v>5250161.5469579995</v>
      </c>
      <c r="C30" s="23">
        <f>+B30/$C$2</f>
        <v>27202.909569730567</v>
      </c>
      <c r="D30" s="23"/>
      <c r="E30" s="23">
        <f>+E28+E26</f>
        <v>9732881.4029515255</v>
      </c>
      <c r="F30" s="23">
        <f t="shared" si="0"/>
        <v>50429.437320992358</v>
      </c>
      <c r="G30" s="23"/>
      <c r="H30" s="23">
        <f>+H28+H26</f>
        <v>3347856.3590326738</v>
      </c>
      <c r="I30" s="23">
        <f t="shared" si="1"/>
        <v>17346.40600535064</v>
      </c>
      <c r="J30" s="23"/>
      <c r="K30" s="23">
        <f>+H30+E30+B30</f>
        <v>18330899.308942199</v>
      </c>
      <c r="L30" s="23">
        <f t="shared" si="2"/>
        <v>94978.752896073565</v>
      </c>
      <c r="M30" s="23"/>
      <c r="N30"/>
      <c r="O30"/>
      <c r="P30"/>
    </row>
    <row r="31" spans="1:16" x14ac:dyDescent="0.2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/>
      <c r="O31"/>
      <c r="P31"/>
    </row>
    <row r="32" spans="1:16" x14ac:dyDescent="0.2">
      <c r="A32" s="6" t="s">
        <v>29</v>
      </c>
      <c r="B32" s="23">
        <f>-B30*0.25</f>
        <v>-1312540.3867394999</v>
      </c>
      <c r="C32" s="23">
        <f>+B32/$C$2</f>
        <v>-6800.7273924326419</v>
      </c>
      <c r="D32" s="23"/>
      <c r="E32" s="23">
        <f>-E30*0.25</f>
        <v>-2433220.3507378814</v>
      </c>
      <c r="F32" s="23">
        <f t="shared" si="0"/>
        <v>-12607.359330248089</v>
      </c>
      <c r="G32" s="23"/>
      <c r="H32" s="23">
        <v>0</v>
      </c>
      <c r="I32" s="23">
        <f t="shared" si="1"/>
        <v>0</v>
      </c>
      <c r="J32" s="23"/>
      <c r="K32" s="23">
        <f>+H32+E32+B32</f>
        <v>-3745760.7374773812</v>
      </c>
      <c r="L32" s="23">
        <f t="shared" si="2"/>
        <v>-19408.086722680731</v>
      </c>
      <c r="M32" s="23"/>
      <c r="N32" s="7"/>
      <c r="O32"/>
      <c r="P32"/>
    </row>
    <row r="33" spans="1:16" x14ac:dyDescent="0.2">
      <c r="A33" s="6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/>
      <c r="O33"/>
      <c r="P33"/>
    </row>
    <row r="34" spans="1:16" x14ac:dyDescent="0.2">
      <c r="A34" s="6" t="s">
        <v>30</v>
      </c>
      <c r="B34" s="28">
        <f>-3165000-E34</f>
        <v>-731779.64926211862</v>
      </c>
      <c r="C34" s="12">
        <f>+B34/$C$2</f>
        <v>-3791.6044003218581</v>
      </c>
      <c r="D34" s="23"/>
      <c r="E34" s="12">
        <f>-E30*0.25</f>
        <v>-2433220.3507378814</v>
      </c>
      <c r="F34" s="12">
        <f t="shared" si="0"/>
        <v>-12607.359330248089</v>
      </c>
      <c r="G34" s="23"/>
      <c r="H34" s="12">
        <v>0</v>
      </c>
      <c r="I34" s="12">
        <f t="shared" si="1"/>
        <v>0</v>
      </c>
      <c r="J34" s="23"/>
      <c r="K34" s="12">
        <f t="shared" ref="K34" si="3">+H34+E34+B34</f>
        <v>-3165000</v>
      </c>
      <c r="L34" s="12">
        <f t="shared" si="2"/>
        <v>-16398.963730569947</v>
      </c>
      <c r="M34" s="23"/>
      <c r="N34"/>
      <c r="O34"/>
      <c r="P34"/>
    </row>
    <row r="35" spans="1:16" x14ac:dyDescent="0.2">
      <c r="A35" s="6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/>
      <c r="O35"/>
      <c r="P35"/>
    </row>
    <row r="36" spans="1:16" x14ac:dyDescent="0.2">
      <c r="A36" s="6" t="s">
        <v>31</v>
      </c>
      <c r="B36" s="12">
        <f>SUM(B30:B35)</f>
        <v>3205841.510956381</v>
      </c>
      <c r="C36" s="12">
        <f>+B36/$C$2</f>
        <v>16610.577776976068</v>
      </c>
      <c r="D36" s="23"/>
      <c r="E36" s="12">
        <f>SUM(E30:E35)</f>
        <v>4866440.7014757637</v>
      </c>
      <c r="F36" s="12">
        <f t="shared" si="0"/>
        <v>25214.718660496186</v>
      </c>
      <c r="G36" s="23"/>
      <c r="H36" s="12">
        <f>SUM(H30:H35)</f>
        <v>3347856.3590326738</v>
      </c>
      <c r="I36" s="12">
        <f t="shared" si="1"/>
        <v>17346.40600535064</v>
      </c>
      <c r="J36" s="23"/>
      <c r="K36" s="12">
        <f>SUM(K30:K35)</f>
        <v>11420138.571464818</v>
      </c>
      <c r="L36" s="12">
        <f t="shared" si="2"/>
        <v>59171.702442822891</v>
      </c>
      <c r="M36" s="23"/>
      <c r="N36"/>
      <c r="O36"/>
      <c r="P36"/>
    </row>
    <row r="37" spans="1:16" x14ac:dyDescent="0.2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/>
      <c r="O37"/>
      <c r="P37"/>
    </row>
    <row r="38" spans="1:16" x14ac:dyDescent="0.2">
      <c r="A38" s="6" t="s">
        <v>32</v>
      </c>
      <c r="B38" s="23">
        <f>+'Costs on Shared'!G9</f>
        <v>175851.40899999999</v>
      </c>
      <c r="C38" s="23">
        <f>+B38/$C$2</f>
        <v>911.14719689119158</v>
      </c>
      <c r="D38" s="23"/>
      <c r="E38" s="23">
        <f>+'Costs on Internal'!D4</f>
        <v>505365.62</v>
      </c>
      <c r="F38" s="23">
        <f t="shared" si="0"/>
        <v>2618.4747150259068</v>
      </c>
      <c r="G38" s="23"/>
      <c r="H38" s="23"/>
      <c r="I38" s="23">
        <f t="shared" si="1"/>
        <v>0</v>
      </c>
      <c r="J38" s="23"/>
      <c r="K38" s="23"/>
      <c r="L38" s="23">
        <f t="shared" si="2"/>
        <v>0</v>
      </c>
      <c r="M38" s="23"/>
      <c r="N38"/>
      <c r="O38"/>
      <c r="P38"/>
    </row>
    <row r="39" spans="1:16" x14ac:dyDescent="0.2">
      <c r="A39" s="6" t="s">
        <v>33</v>
      </c>
      <c r="B39" s="29">
        <f>+'Costs on Shared'!G10</f>
        <v>12298.9157</v>
      </c>
      <c r="C39" s="29">
        <f>+B39/$C$2</f>
        <v>63.724951813471499</v>
      </c>
      <c r="D39" s="29"/>
      <c r="E39" s="29">
        <f>+'Costs on Internal'!D5</f>
        <v>54399</v>
      </c>
      <c r="F39" s="29">
        <f t="shared" si="0"/>
        <v>281.86010362694299</v>
      </c>
      <c r="G39" s="29"/>
      <c r="H39" s="29"/>
      <c r="I39" s="29">
        <f t="shared" si="1"/>
        <v>0</v>
      </c>
      <c r="J39" s="29"/>
      <c r="K39" s="29"/>
      <c r="L39" s="29">
        <f t="shared" si="2"/>
        <v>0</v>
      </c>
      <c r="M39" s="23"/>
      <c r="N39"/>
      <c r="O39"/>
      <c r="P39"/>
    </row>
    <row r="40" spans="1:16" x14ac:dyDescent="0.2">
      <c r="A40" s="66" t="s">
        <v>34</v>
      </c>
      <c r="B40" s="12">
        <v>12500</v>
      </c>
      <c r="C40" s="12">
        <f>+B40/$C$2</f>
        <v>64.766839378238345</v>
      </c>
      <c r="D40" s="23"/>
      <c r="E40" s="12">
        <v>50000</v>
      </c>
      <c r="F40" s="12">
        <f t="shared" si="0"/>
        <v>259.06735751295338</v>
      </c>
      <c r="G40" s="23"/>
      <c r="H40" s="12"/>
      <c r="I40" s="12">
        <f t="shared" si="1"/>
        <v>0</v>
      </c>
      <c r="J40" s="23"/>
      <c r="K40" s="12"/>
      <c r="L40" s="12"/>
      <c r="M40" s="23"/>
      <c r="N40"/>
      <c r="O40"/>
      <c r="P40"/>
    </row>
    <row r="41" spans="1:16" x14ac:dyDescent="0.2">
      <c r="A41" s="6" t="s">
        <v>35</v>
      </c>
      <c r="B41" s="23">
        <f>SUM(B38:B40)</f>
        <v>200650.3247</v>
      </c>
      <c r="C41" s="23">
        <f>+B41/$C$2</f>
        <v>1039.6389880829015</v>
      </c>
      <c r="D41" s="23"/>
      <c r="E41" s="23">
        <f>SUM(E38:E40)</f>
        <v>609764.62</v>
      </c>
      <c r="F41" s="23">
        <f t="shared" si="0"/>
        <v>3159.4021761658032</v>
      </c>
      <c r="G41" s="23"/>
      <c r="H41" s="23"/>
      <c r="I41" s="23">
        <f t="shared" si="1"/>
        <v>0</v>
      </c>
      <c r="J41" s="23"/>
      <c r="K41" s="23">
        <f>+H41+E41+B41</f>
        <v>810414.94469999999</v>
      </c>
      <c r="L41" s="23">
        <f t="shared" si="2"/>
        <v>4199.0411642487043</v>
      </c>
      <c r="M41" s="23"/>
      <c r="N41"/>
      <c r="O41"/>
      <c r="P41"/>
    </row>
    <row r="42" spans="1:16" x14ac:dyDescent="0.2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/>
      <c r="O42"/>
      <c r="P42"/>
    </row>
    <row r="43" spans="1:16" x14ac:dyDescent="0.2">
      <c r="A43" s="6" t="s">
        <v>147</v>
      </c>
      <c r="B43" s="23">
        <v>463886</v>
      </c>
      <c r="C43" s="25">
        <f>+B43/$C$2</f>
        <v>2403.5544041450776</v>
      </c>
      <c r="D43" s="23"/>
      <c r="E43" s="23"/>
      <c r="F43" s="23">
        <f t="shared" si="0"/>
        <v>0</v>
      </c>
      <c r="G43" s="23"/>
      <c r="H43" s="23"/>
      <c r="I43" s="23">
        <f t="shared" si="1"/>
        <v>0</v>
      </c>
      <c r="J43" s="23"/>
      <c r="K43" s="23">
        <f>+H43+E43+B43</f>
        <v>463886</v>
      </c>
      <c r="L43" s="23">
        <f t="shared" si="2"/>
        <v>2403.5544041450776</v>
      </c>
      <c r="M43" s="23"/>
      <c r="N43"/>
      <c r="O43"/>
      <c r="P43"/>
    </row>
    <row r="44" spans="1:16" x14ac:dyDescent="0.2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/>
      <c r="O44"/>
      <c r="P44"/>
    </row>
    <row r="45" spans="1:16" x14ac:dyDescent="0.2">
      <c r="A45" s="6" t="s">
        <v>148</v>
      </c>
      <c r="B45" s="23">
        <v>157430</v>
      </c>
      <c r="C45" s="23">
        <f>+B45/$C$2</f>
        <v>815.69948186528495</v>
      </c>
      <c r="D45" s="23"/>
      <c r="E45" s="23"/>
      <c r="F45" s="23">
        <f t="shared" si="0"/>
        <v>0</v>
      </c>
      <c r="G45" s="23"/>
      <c r="H45" s="23"/>
      <c r="I45" s="23">
        <f t="shared" si="1"/>
        <v>0</v>
      </c>
      <c r="J45" s="23"/>
      <c r="K45" s="23">
        <f>+H45+E45+B45</f>
        <v>157430</v>
      </c>
      <c r="L45" s="23">
        <f t="shared" si="2"/>
        <v>815.69948186528495</v>
      </c>
      <c r="M45" s="23"/>
      <c r="N45"/>
      <c r="O45"/>
      <c r="P45"/>
    </row>
    <row r="46" spans="1:16" x14ac:dyDescent="0.2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/>
      <c r="O46"/>
      <c r="P46"/>
    </row>
    <row r="47" spans="1:16" x14ac:dyDescent="0.2">
      <c r="A47" s="6" t="s">
        <v>116</v>
      </c>
      <c r="B47" s="12">
        <f>+B30*0.15</f>
        <v>787524.23204369994</v>
      </c>
      <c r="C47" s="12">
        <f>+B47/$C$2</f>
        <v>4080.436435459585</v>
      </c>
      <c r="D47" s="23"/>
      <c r="E47" s="12">
        <f>+E30*0.15</f>
        <v>1459932.2104427288</v>
      </c>
      <c r="F47" s="12">
        <f t="shared" si="0"/>
        <v>7564.4155981488539</v>
      </c>
      <c r="G47" s="23"/>
      <c r="H47" s="12">
        <f>+H30*0.15</f>
        <v>502178.45385490102</v>
      </c>
      <c r="I47" s="12">
        <f t="shared" si="1"/>
        <v>2601.9609008025959</v>
      </c>
      <c r="J47" s="23"/>
      <c r="K47" s="12">
        <f>+H47+E47+B47</f>
        <v>2749634.8963413299</v>
      </c>
      <c r="L47" s="12">
        <f t="shared" si="2"/>
        <v>14246.812934411037</v>
      </c>
      <c r="M47" s="23"/>
      <c r="N47"/>
      <c r="O47"/>
      <c r="P47"/>
    </row>
    <row r="48" spans="1:16" x14ac:dyDescent="0.2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/>
      <c r="O48"/>
      <c r="P48"/>
    </row>
    <row r="49" spans="1:16" ht="17" thickBot="1" x14ac:dyDescent="0.25">
      <c r="A49" s="6" t="s">
        <v>36</v>
      </c>
      <c r="B49" s="30">
        <f>+B36+B41+B43+B45+B47</f>
        <v>4815332.0677000815</v>
      </c>
      <c r="C49" s="30">
        <f>+B49/$C$2</f>
        <v>24949.907086528921</v>
      </c>
      <c r="D49" s="23"/>
      <c r="E49" s="30">
        <f>+E47+E41+E36</f>
        <v>6936137.5319184922</v>
      </c>
      <c r="F49" s="30">
        <f t="shared" si="0"/>
        <v>35938.536434810841</v>
      </c>
      <c r="G49" s="23"/>
      <c r="H49" s="30">
        <f>+H47+H36</f>
        <v>3850034.8128875745</v>
      </c>
      <c r="I49" s="30">
        <f t="shared" si="1"/>
        <v>19948.366906153235</v>
      </c>
      <c r="J49" s="23"/>
      <c r="K49" s="30">
        <f>+H49+E49+B49</f>
        <v>15601504.412506148</v>
      </c>
      <c r="L49" s="30">
        <f t="shared" si="2"/>
        <v>80836.810427492994</v>
      </c>
      <c r="M49" s="23"/>
      <c r="N49"/>
      <c r="O49"/>
      <c r="P49"/>
    </row>
    <row r="50" spans="1:16" ht="17" thickTop="1" x14ac:dyDescent="0.2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/>
      <c r="O50"/>
      <c r="P50"/>
    </row>
    <row r="51" spans="1:16" ht="17" thickBot="1" x14ac:dyDescent="0.25">
      <c r="A51" s="6" t="s">
        <v>37</v>
      </c>
      <c r="B51" s="30">
        <f>+B49-B34-B32</f>
        <v>6859652.1037016995</v>
      </c>
      <c r="C51" s="30">
        <f>+B51/C2</f>
        <v>35542.238879283417</v>
      </c>
      <c r="D51" s="23"/>
      <c r="E51" s="30">
        <f>+E49-E34-E32</f>
        <v>11802578.233394254</v>
      </c>
      <c r="F51" s="30">
        <f>+E51/C2</f>
        <v>61153.255095307017</v>
      </c>
      <c r="G51" s="23"/>
      <c r="H51" s="30">
        <f>+H49-H34-H32</f>
        <v>3850034.8128875745</v>
      </c>
      <c r="I51" s="30">
        <f>+H51/C2</f>
        <v>19948.366906153235</v>
      </c>
      <c r="J51" s="23"/>
      <c r="K51" s="78">
        <f>+K49-K34-K32</f>
        <v>22512265.149983529</v>
      </c>
      <c r="L51" s="30">
        <f>+K51/C2</f>
        <v>116643.86088074367</v>
      </c>
      <c r="M51" s="23"/>
      <c r="N51"/>
      <c r="O51"/>
      <c r="P51"/>
    </row>
    <row r="52" spans="1:16" ht="18" thickTop="1" thickBot="1" x14ac:dyDescent="0.25">
      <c r="B52" s="23"/>
      <c r="C52" s="23"/>
      <c r="D52" s="23"/>
      <c r="E52" s="31">
        <f>+E51+B51</f>
        <v>18662230.337095954</v>
      </c>
      <c r="F52" s="23"/>
      <c r="G52" s="23"/>
      <c r="H52" s="23"/>
      <c r="I52" s="23"/>
      <c r="J52" s="23"/>
      <c r="K52" s="23"/>
      <c r="L52" s="23"/>
      <c r="M52" s="23"/>
      <c r="N52"/>
      <c r="O52"/>
      <c r="P52"/>
    </row>
    <row r="53" spans="1:16" ht="17" thickTop="1" x14ac:dyDescent="0.2">
      <c r="B53" s="23"/>
      <c r="C53" s="23"/>
      <c r="D53" s="23"/>
      <c r="E53" s="33"/>
      <c r="F53" s="23"/>
      <c r="G53" s="23"/>
      <c r="H53" s="23"/>
      <c r="I53" s="23"/>
      <c r="J53" s="23"/>
      <c r="K53" s="23"/>
      <c r="L53" s="23"/>
      <c r="M53" s="23"/>
      <c r="N53"/>
      <c r="O53"/>
      <c r="P53"/>
    </row>
    <row r="54" spans="1:16" ht="17" thickBot="1" x14ac:dyDescent="0.25">
      <c r="A54" s="16" t="s">
        <v>38</v>
      </c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/>
      <c r="O54"/>
      <c r="P54"/>
    </row>
    <row r="55" spans="1:16" ht="17" thickBot="1" x14ac:dyDescent="0.25">
      <c r="A55" s="6" t="s">
        <v>39</v>
      </c>
      <c r="B55" s="23">
        <f>+'Financing Costs'!C11</f>
        <v>1031058.9221186774</v>
      </c>
      <c r="C55" s="23">
        <f>+B55/C2</f>
        <v>5342.2742078687952</v>
      </c>
      <c r="D55" s="23"/>
      <c r="E55" s="23">
        <f>+'Financing Costs'!J11</f>
        <v>1485165.796829988</v>
      </c>
      <c r="F55" s="23">
        <f>+E55/C2</f>
        <v>7695.1595690672957</v>
      </c>
      <c r="G55" s="23"/>
      <c r="H55" s="24">
        <f>+'Financing Costs'!P11</f>
        <v>615882.72224904352</v>
      </c>
      <c r="I55" s="23">
        <f>+H55/C2</f>
        <v>3191.1021878188785</v>
      </c>
      <c r="J55" s="23"/>
      <c r="K55" s="23">
        <f t="shared" ref="K55" si="4">+H55+E55+B55</f>
        <v>3132107.4411977087</v>
      </c>
      <c r="L55" s="23">
        <f>+K55/C2</f>
        <v>16228.535964754967</v>
      </c>
      <c r="M55" s="79">
        <f>+L55+L49</f>
        <v>97065.346392247957</v>
      </c>
      <c r="N55"/>
      <c r="O55"/>
      <c r="P55"/>
    </row>
    <row r="56" spans="1:16" x14ac:dyDescent="0.2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/>
      <c r="O56"/>
      <c r="P56"/>
    </row>
    <row r="57" spans="1:16" x14ac:dyDescent="0.2">
      <c r="A57" s="6" t="s">
        <v>40</v>
      </c>
      <c r="B57" s="29"/>
      <c r="C57" s="29"/>
      <c r="D57" s="29"/>
      <c r="E57" s="32">
        <v>1930000</v>
      </c>
      <c r="F57" s="32">
        <f>+E57/C2</f>
        <v>10000</v>
      </c>
      <c r="G57" s="29"/>
      <c r="H57" s="29"/>
      <c r="I57" s="29"/>
      <c r="J57" s="29"/>
      <c r="K57" s="29">
        <f>+E57+B57+H57</f>
        <v>1930000</v>
      </c>
      <c r="L57" s="29">
        <f>+K57/C2</f>
        <v>10000</v>
      </c>
      <c r="M57" s="23"/>
      <c r="N57"/>
      <c r="O57"/>
      <c r="P57"/>
    </row>
    <row r="58" spans="1:16" x14ac:dyDescent="0.2">
      <c r="A58" s="6"/>
      <c r="B58" s="29"/>
      <c r="C58" s="29"/>
      <c r="D58" s="23"/>
      <c r="E58" s="33"/>
      <c r="F58" s="33"/>
      <c r="G58" s="23"/>
      <c r="H58" s="29"/>
      <c r="I58" s="29"/>
      <c r="J58" s="23"/>
      <c r="K58" s="29"/>
      <c r="L58" s="29"/>
      <c r="M58" s="23"/>
      <c r="N58" s="23"/>
    </row>
    <row r="59" spans="1:16" x14ac:dyDescent="0.2">
      <c r="A59" s="6" t="s">
        <v>41</v>
      </c>
      <c r="B59" s="12">
        <f>+'Operating Costs'!D17</f>
        <v>2800392</v>
      </c>
      <c r="C59" s="12">
        <f>+B59/C2</f>
        <v>14509.80310880829</v>
      </c>
      <c r="D59" s="23"/>
      <c r="E59" s="34">
        <f>+'Operating Costs'!E17</f>
        <v>1600000</v>
      </c>
      <c r="F59" s="34">
        <f>+E59/C2</f>
        <v>8290.1554404145081</v>
      </c>
      <c r="G59" s="23"/>
      <c r="H59" s="12">
        <f>+'Operating Costs'!F17</f>
        <v>200000</v>
      </c>
      <c r="I59" s="12">
        <f>+H59/C2</f>
        <v>1036.2694300518135</v>
      </c>
      <c r="J59" s="23"/>
      <c r="K59" s="12">
        <f>+H59+E59+B59</f>
        <v>4600392</v>
      </c>
      <c r="L59" s="12">
        <f>+K59/C2</f>
        <v>23836.227979274612</v>
      </c>
      <c r="M59" s="23"/>
      <c r="N59" s="23"/>
    </row>
    <row r="60" spans="1:16" x14ac:dyDescent="0.2">
      <c r="A60" s="6"/>
      <c r="B60" s="29"/>
      <c r="C60" s="29"/>
      <c r="D60" s="23"/>
      <c r="E60" s="33"/>
      <c r="F60" s="33"/>
      <c r="G60" s="23"/>
      <c r="H60" s="29"/>
      <c r="I60" s="29"/>
      <c r="J60" s="23"/>
      <c r="K60" s="29"/>
      <c r="L60" s="29"/>
      <c r="M60" s="23"/>
      <c r="N60" s="23"/>
    </row>
    <row r="61" spans="1:16" x14ac:dyDescent="0.2">
      <c r="A61" s="6" t="s">
        <v>42</v>
      </c>
      <c r="B61" s="12">
        <f>+B59+B57+B55</f>
        <v>3831450.9221186773</v>
      </c>
      <c r="C61" s="12">
        <f>+B61/C2</f>
        <v>19852.077316677085</v>
      </c>
      <c r="D61" s="23"/>
      <c r="E61" s="12">
        <f>+E59+E57+E55</f>
        <v>5015165.7968299882</v>
      </c>
      <c r="F61" s="34">
        <f>+E61/C2</f>
        <v>25985.315009481805</v>
      </c>
      <c r="G61" s="23"/>
      <c r="H61" s="12">
        <f>+H59+H57+H55</f>
        <v>815882.72224904352</v>
      </c>
      <c r="I61" s="12">
        <f>+H61/C2</f>
        <v>4227.3716178706918</v>
      </c>
      <c r="J61" s="23"/>
      <c r="K61" s="12">
        <f>+K59+K57+K55</f>
        <v>9662499.4411977082</v>
      </c>
      <c r="L61" s="12">
        <f>+K61/C2</f>
        <v>50064.763944029575</v>
      </c>
      <c r="M61" s="23"/>
      <c r="N61" s="23"/>
    </row>
    <row r="62" spans="1:16" x14ac:dyDescent="0.2">
      <c r="A62" s="6"/>
      <c r="B62" s="29"/>
      <c r="C62" s="29"/>
      <c r="D62" s="23"/>
      <c r="E62" s="33"/>
      <c r="F62" s="33"/>
      <c r="G62" s="23"/>
      <c r="H62" s="29"/>
      <c r="I62" s="29"/>
      <c r="J62" s="23"/>
      <c r="K62" s="29"/>
      <c r="L62" s="29"/>
      <c r="M62" s="23"/>
      <c r="N62" s="23"/>
    </row>
    <row r="63" spans="1:16" ht="17" thickBot="1" x14ac:dyDescent="0.25">
      <c r="A63" s="8" t="s">
        <v>43</v>
      </c>
      <c r="B63" s="35">
        <f>+B61+B49</f>
        <v>8646782.9898187593</v>
      </c>
      <c r="C63" s="35">
        <f>+B63/C2</f>
        <v>44801.984403206006</v>
      </c>
      <c r="D63" s="36"/>
      <c r="E63" s="35">
        <f>+E61+E49</f>
        <v>11951303.328748479</v>
      </c>
      <c r="F63" s="35">
        <f>+E63/C2</f>
        <v>61923.851444292639</v>
      </c>
      <c r="G63" s="36"/>
      <c r="H63" s="35">
        <f>+H49+H61</f>
        <v>4665917.5351366177</v>
      </c>
      <c r="I63" s="35">
        <f>+H63/C2</f>
        <v>24175.738524023927</v>
      </c>
      <c r="J63" s="36"/>
      <c r="K63" s="35">
        <f>+H63+E63+B63</f>
        <v>25264003.853703856</v>
      </c>
      <c r="L63" s="35">
        <f>+K63/C2</f>
        <v>130901.57437152257</v>
      </c>
      <c r="M63" s="23"/>
      <c r="N63" s="23"/>
    </row>
    <row r="64" spans="1:16" ht="17" thickTop="1" x14ac:dyDescent="0.2">
      <c r="A64" s="6"/>
      <c r="B64" s="29"/>
      <c r="C64" s="29"/>
      <c r="D64" s="23"/>
      <c r="E64" s="33"/>
      <c r="F64" s="33"/>
      <c r="G64" s="23"/>
      <c r="H64" s="29"/>
      <c r="I64" s="29"/>
      <c r="J64" s="23"/>
      <c r="K64" s="29"/>
      <c r="L64" s="29"/>
      <c r="M64" s="23"/>
      <c r="N64" s="23"/>
    </row>
    <row r="65" spans="1:16" ht="17" thickBot="1" x14ac:dyDescent="0.25">
      <c r="A65" s="6" t="s">
        <v>44</v>
      </c>
      <c r="B65" s="30">
        <f>+B51+B61</f>
        <v>10691103.025820376</v>
      </c>
      <c r="C65" s="30">
        <f>+B65/C2</f>
        <v>55394.316195960499</v>
      </c>
      <c r="D65" s="23"/>
      <c r="E65" s="37">
        <f>+E61+E51</f>
        <v>16817744.030224241</v>
      </c>
      <c r="F65" s="37">
        <f>+E65/C2</f>
        <v>87138.570104788814</v>
      </c>
      <c r="G65" s="23"/>
      <c r="H65" s="30">
        <f>+H61+H51</f>
        <v>4665917.5351366177</v>
      </c>
      <c r="I65" s="30">
        <f>+H65/C2</f>
        <v>24175.738524023927</v>
      </c>
      <c r="J65" s="23"/>
      <c r="K65" s="30">
        <f>+H65+E65+B65</f>
        <v>32174764.591181234</v>
      </c>
      <c r="L65" s="30">
        <f>+K65/C2</f>
        <v>166708.62482477323</v>
      </c>
      <c r="M65" s="23"/>
      <c r="N65" s="23"/>
    </row>
    <row r="66" spans="1:16" ht="17" thickTop="1" x14ac:dyDescent="0.2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</row>
    <row r="67" spans="1:16" x14ac:dyDescent="0.2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</row>
    <row r="68" spans="1:16" x14ac:dyDescent="0.2">
      <c r="A68" s="6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</row>
    <row r="69" spans="1:16" x14ac:dyDescent="0.2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</row>
    <row r="71" spans="1:16" ht="26" x14ac:dyDescent="0.3">
      <c r="K71" s="1" t="s">
        <v>0</v>
      </c>
      <c r="L71" s="2"/>
      <c r="M71" s="2"/>
      <c r="N71" s="56"/>
    </row>
    <row r="72" spans="1:16" ht="26" x14ac:dyDescent="0.3">
      <c r="K72" s="1" t="s">
        <v>1</v>
      </c>
      <c r="L72" s="2"/>
      <c r="M72" s="2"/>
      <c r="N72" s="56"/>
    </row>
    <row r="74" spans="1:16" x14ac:dyDescent="0.2">
      <c r="K74" s="3"/>
      <c r="L74" s="3"/>
      <c r="M74" s="4" t="s">
        <v>2</v>
      </c>
      <c r="N74" s="57" t="s">
        <v>3</v>
      </c>
      <c r="O74" s="57" t="s">
        <v>4</v>
      </c>
      <c r="P74" s="57" t="s">
        <v>5</v>
      </c>
    </row>
    <row r="75" spans="1:16" x14ac:dyDescent="0.2">
      <c r="K75" s="3"/>
      <c r="L75" s="3"/>
      <c r="M75" s="5" t="s">
        <v>6</v>
      </c>
      <c r="N75" s="58" t="s">
        <v>6</v>
      </c>
      <c r="O75" s="58" t="s">
        <v>7</v>
      </c>
      <c r="P75" s="58" t="s">
        <v>8</v>
      </c>
    </row>
    <row r="77" spans="1:16" x14ac:dyDescent="0.2">
      <c r="K77" s="6" t="s">
        <v>9</v>
      </c>
      <c r="M77" s="7">
        <f>+C65</f>
        <v>55394.316195960499</v>
      </c>
      <c r="N77" s="42">
        <f>+F65</f>
        <v>87138.570104788814</v>
      </c>
      <c r="O77" s="42">
        <f>+I65</f>
        <v>24175.738524023927</v>
      </c>
      <c r="P77" s="42">
        <f>SUM(M77:O77)</f>
        <v>166708.62482477326</v>
      </c>
    </row>
    <row r="78" spans="1:16" x14ac:dyDescent="0.2">
      <c r="K78" s="6" t="s">
        <v>10</v>
      </c>
      <c r="M78" s="7">
        <f>+C32+C34</f>
        <v>-10592.331792754499</v>
      </c>
      <c r="N78" s="42">
        <f>+F32+F34</f>
        <v>-25214.718660496179</v>
      </c>
      <c r="P78" s="42">
        <f>SUM(M78:O78)</f>
        <v>-35807.050453250675</v>
      </c>
    </row>
    <row r="79" spans="1:16" ht="17" thickBot="1" x14ac:dyDescent="0.25">
      <c r="K79" s="8" t="s">
        <v>11</v>
      </c>
      <c r="L79" s="3"/>
      <c r="M79" s="9">
        <f>+M78+M77</f>
        <v>44801.984403205999</v>
      </c>
      <c r="N79" s="59">
        <f t="shared" ref="N79:P79" si="5">+N78+N77</f>
        <v>61923.851444292639</v>
      </c>
      <c r="O79" s="59">
        <f t="shared" si="5"/>
        <v>24175.738524023927</v>
      </c>
      <c r="P79" s="59">
        <f t="shared" si="5"/>
        <v>130901.57437152258</v>
      </c>
    </row>
    <row r="80" spans="1:16" ht="17" thickTop="1" x14ac:dyDescent="0.2"/>
    <row r="81" spans="11:16" x14ac:dyDescent="0.2">
      <c r="K81" s="6" t="s">
        <v>12</v>
      </c>
      <c r="M81" s="7">
        <f>+C49</f>
        <v>24949.907086528921</v>
      </c>
      <c r="N81" s="42">
        <f>+F49</f>
        <v>35938.536434810841</v>
      </c>
      <c r="O81" s="42">
        <f>+I49</f>
        <v>19948.366906153235</v>
      </c>
      <c r="P81" s="42">
        <f>SUM(M81:O81)</f>
        <v>80836.810427493008</v>
      </c>
    </row>
    <row r="82" spans="11:16" x14ac:dyDescent="0.2">
      <c r="K82" s="6" t="s">
        <v>13</v>
      </c>
      <c r="M82" s="10">
        <f>+C55</f>
        <v>5342.2742078687952</v>
      </c>
      <c r="N82" s="47">
        <f>+F55</f>
        <v>7695.1595690672957</v>
      </c>
      <c r="O82" s="47">
        <f>+I55</f>
        <v>3191.1021878188785</v>
      </c>
      <c r="P82" s="47">
        <f>SUM(M82:O82)</f>
        <v>16228.535964754969</v>
      </c>
    </row>
    <row r="83" spans="11:16" x14ac:dyDescent="0.2">
      <c r="K83" s="6" t="s">
        <v>141</v>
      </c>
      <c r="M83" s="7">
        <f>SUM(M81:M82)</f>
        <v>30292.181294397717</v>
      </c>
      <c r="N83" s="42">
        <f t="shared" ref="N83:P83" si="6">SUM(N81:N82)</f>
        <v>43633.69600387814</v>
      </c>
      <c r="O83" s="42">
        <f t="shared" si="6"/>
        <v>23139.469093972111</v>
      </c>
      <c r="P83" s="42">
        <f t="shared" si="6"/>
        <v>97065.346392247971</v>
      </c>
    </row>
    <row r="84" spans="11:16" x14ac:dyDescent="0.2">
      <c r="K84" s="6" t="s">
        <v>14</v>
      </c>
      <c r="M84" s="11"/>
      <c r="N84" s="12">
        <v>10000</v>
      </c>
      <c r="O84" s="47"/>
      <c r="P84" s="47">
        <f>SUM(M84:O84)</f>
        <v>10000</v>
      </c>
    </row>
    <row r="85" spans="11:16" x14ac:dyDescent="0.2">
      <c r="K85" s="6" t="s">
        <v>15</v>
      </c>
      <c r="M85" s="7">
        <f>+M84+M83</f>
        <v>30292.181294397717</v>
      </c>
      <c r="N85" s="42">
        <f t="shared" ref="N85:P85" si="7">+N84+N83</f>
        <v>53633.69600387814</v>
      </c>
      <c r="O85" s="42">
        <f t="shared" si="7"/>
        <v>23139.469093972111</v>
      </c>
      <c r="P85" s="42">
        <f t="shared" si="7"/>
        <v>107065.34639224797</v>
      </c>
    </row>
    <row r="86" spans="11:16" x14ac:dyDescent="0.2">
      <c r="K86" s="6" t="s">
        <v>16</v>
      </c>
      <c r="M86" s="10">
        <f>+C59</f>
        <v>14509.80310880829</v>
      </c>
      <c r="N86" s="47">
        <f>+F59</f>
        <v>8290.1554404145081</v>
      </c>
      <c r="O86" s="47">
        <f>+I59</f>
        <v>1036.2694300518135</v>
      </c>
      <c r="P86" s="47">
        <f>SUM(M86:O86)</f>
        <v>23836.227979274612</v>
      </c>
    </row>
    <row r="87" spans="11:16" x14ac:dyDescent="0.2">
      <c r="K87" s="6"/>
      <c r="M87" s="7"/>
    </row>
    <row r="88" spans="11:16" ht="17" thickBot="1" x14ac:dyDescent="0.25">
      <c r="K88" s="13" t="s">
        <v>17</v>
      </c>
      <c r="L88" s="14"/>
      <c r="M88" s="15">
        <f>+M86+M85</f>
        <v>44801.984403206006</v>
      </c>
      <c r="N88" s="60">
        <f>+N86+N85</f>
        <v>61923.851444292646</v>
      </c>
      <c r="O88" s="60">
        <f>+O86+O85</f>
        <v>24175.738524023924</v>
      </c>
      <c r="P88" s="60">
        <f>+P86+P85</f>
        <v>130901.57437152258</v>
      </c>
    </row>
    <row r="89" spans="11:16" ht="17" thickTop="1" x14ac:dyDescent="0.2">
      <c r="K89" s="6"/>
      <c r="M89" s="7"/>
    </row>
    <row r="90" spans="11:16" ht="19" x14ac:dyDescent="0.35">
      <c r="K90" s="16" t="s">
        <v>18</v>
      </c>
      <c r="L90" s="17"/>
      <c r="M90" s="18" t="s">
        <v>19</v>
      </c>
      <c r="N90" s="61" t="s">
        <v>5</v>
      </c>
    </row>
    <row r="91" spans="11:16" x14ac:dyDescent="0.2">
      <c r="K91" s="19" t="s">
        <v>20</v>
      </c>
      <c r="L91" s="17"/>
      <c r="M91" s="20">
        <f>+(M83+N83+M86+N86)/20+(O83/5) +O86/20</f>
        <v>9515.9990826719459</v>
      </c>
      <c r="N91" s="62">
        <f>+M91*5</f>
        <v>47579.995413359728</v>
      </c>
    </row>
    <row r="92" spans="11:16" x14ac:dyDescent="0.2">
      <c r="K92" s="19" t="s">
        <v>21</v>
      </c>
      <c r="L92" s="17"/>
      <c r="M92" s="20">
        <f>+(M83+N83+M86+N86+O86)/20</f>
        <v>4888.1052638775236</v>
      </c>
      <c r="N92" s="62">
        <f>+M92*15</f>
        <v>73321.578958162849</v>
      </c>
    </row>
    <row r="93" spans="11:16" x14ac:dyDescent="0.2">
      <c r="K93" s="19" t="s">
        <v>22</v>
      </c>
      <c r="L93" s="17"/>
      <c r="M93" s="20"/>
      <c r="N93" s="62">
        <v>10000</v>
      </c>
    </row>
    <row r="94" spans="11:16" ht="17" thickBot="1" x14ac:dyDescent="0.25">
      <c r="K94" s="19"/>
      <c r="L94" s="17"/>
      <c r="M94" s="20"/>
      <c r="N94" s="63">
        <f>SUM(N91:N93)</f>
        <v>130901.57437152258</v>
      </c>
    </row>
    <row r="95" spans="11:16" ht="17" thickTop="1" x14ac:dyDescent="0.2">
      <c r="K95" s="6"/>
      <c r="M95" s="7"/>
    </row>
    <row r="101" spans="11:11" x14ac:dyDescent="0.2">
      <c r="K101" s="42"/>
    </row>
    <row r="102" spans="11:11" x14ac:dyDescent="0.2">
      <c r="K102" s="42"/>
    </row>
    <row r="103" spans="11:11" x14ac:dyDescent="0.2">
      <c r="K103" s="42"/>
    </row>
    <row r="104" spans="11:11" x14ac:dyDescent="0.2">
      <c r="K104" s="42"/>
    </row>
    <row r="105" spans="11:11" x14ac:dyDescent="0.2">
      <c r="K105" s="42"/>
    </row>
    <row r="106" spans="11:11" x14ac:dyDescent="0.2">
      <c r="K106" s="42"/>
    </row>
    <row r="107" spans="11:11" x14ac:dyDescent="0.2">
      <c r="K107" s="42"/>
    </row>
    <row r="108" spans="11:11" x14ac:dyDescent="0.2">
      <c r="K108" s="42"/>
    </row>
    <row r="109" spans="11:11" x14ac:dyDescent="0.2">
      <c r="K109" s="46"/>
    </row>
    <row r="110" spans="11:11" x14ac:dyDescent="0.2">
      <c r="K110" s="42"/>
    </row>
    <row r="111" spans="11:11" x14ac:dyDescent="0.2">
      <c r="K111" s="42"/>
    </row>
    <row r="112" spans="11:11" x14ac:dyDescent="0.2">
      <c r="K112" s="42"/>
    </row>
    <row r="113" spans="11:11" x14ac:dyDescent="0.2">
      <c r="K113" s="42"/>
    </row>
    <row r="114" spans="11:11" x14ac:dyDescent="0.2">
      <c r="K114" s="7"/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055E3-CBD0-C749-B5B6-543842203388}">
  <dimension ref="B4:F21"/>
  <sheetViews>
    <sheetView topLeftCell="A3" workbookViewId="0">
      <selection activeCell="D22" sqref="D22"/>
    </sheetView>
  </sheetViews>
  <sheetFormatPr baseColWidth="10" defaultRowHeight="16" x14ac:dyDescent="0.2"/>
  <cols>
    <col min="2" max="2" width="27.33203125" customWidth="1"/>
    <col min="3" max="3" width="2.6640625" customWidth="1"/>
    <col min="4" max="4" width="14" bestFit="1" customWidth="1"/>
    <col min="5" max="5" width="11.5" bestFit="1" customWidth="1"/>
    <col min="6" max="6" width="14" bestFit="1" customWidth="1"/>
  </cols>
  <sheetData>
    <row r="4" spans="2:6" x14ac:dyDescent="0.2">
      <c r="B4" s="43" t="s">
        <v>49</v>
      </c>
      <c r="D4" s="42"/>
      <c r="E4" s="42"/>
      <c r="F4" s="42"/>
    </row>
    <row r="5" spans="2:6" x14ac:dyDescent="0.2">
      <c r="B5" s="43"/>
      <c r="D5" s="42"/>
      <c r="E5" s="42"/>
      <c r="F5" s="42"/>
    </row>
    <row r="6" spans="2:6" x14ac:dyDescent="0.2">
      <c r="B6" t="s">
        <v>45</v>
      </c>
      <c r="D6" s="42">
        <v>9863723</v>
      </c>
      <c r="E6" s="42"/>
      <c r="F6" s="42"/>
    </row>
    <row r="7" spans="2:6" x14ac:dyDescent="0.2">
      <c r="B7" t="s">
        <v>46</v>
      </c>
      <c r="D7" s="42">
        <v>5680740</v>
      </c>
      <c r="E7" s="42"/>
      <c r="F7" s="42"/>
    </row>
    <row r="8" spans="2:6" x14ac:dyDescent="0.2">
      <c r="B8" t="s">
        <v>47</v>
      </c>
      <c r="D8" s="47">
        <v>4096777</v>
      </c>
      <c r="E8" s="42"/>
      <c r="F8" s="42"/>
    </row>
    <row r="9" spans="2:6" x14ac:dyDescent="0.2">
      <c r="B9" t="s">
        <v>48</v>
      </c>
      <c r="D9" s="46">
        <f>SUM(D6:D8)</f>
        <v>19641240</v>
      </c>
    </row>
    <row r="10" spans="2:6" x14ac:dyDescent="0.2">
      <c r="D10" s="42"/>
      <c r="E10" s="42"/>
      <c r="F10" s="42"/>
    </row>
    <row r="11" spans="2:6" x14ac:dyDescent="0.2">
      <c r="B11" t="s">
        <v>75</v>
      </c>
      <c r="D11" s="42">
        <v>193390</v>
      </c>
      <c r="E11" s="42"/>
    </row>
    <row r="12" spans="2:6" x14ac:dyDescent="0.2">
      <c r="D12" s="47"/>
      <c r="E12" s="42"/>
    </row>
    <row r="13" spans="2:6" x14ac:dyDescent="0.2">
      <c r="D13" s="46">
        <f>+D9-D11</f>
        <v>19447850</v>
      </c>
    </row>
    <row r="15" spans="2:6" x14ac:dyDescent="0.2">
      <c r="D15" s="44">
        <v>0.21099999999999999</v>
      </c>
      <c r="E15" t="s">
        <v>50</v>
      </c>
    </row>
    <row r="16" spans="2:6" x14ac:dyDescent="0.2">
      <c r="D16" s="42"/>
    </row>
    <row r="17" spans="4:5" ht="17" thickBot="1" x14ac:dyDescent="0.25">
      <c r="D17" s="55">
        <f>+D15*D13</f>
        <v>4103496.35</v>
      </c>
      <c r="E17" t="s">
        <v>51</v>
      </c>
    </row>
    <row r="18" spans="4:5" ht="17" thickTop="1" x14ac:dyDescent="0.2"/>
    <row r="19" spans="4:5" x14ac:dyDescent="0.2">
      <c r="D19" s="42">
        <v>6504</v>
      </c>
      <c r="E19" t="s">
        <v>78</v>
      </c>
    </row>
    <row r="21" spans="4:5" x14ac:dyDescent="0.2">
      <c r="D21" s="7">
        <f>+D19+D17</f>
        <v>4110000.35</v>
      </c>
    </row>
  </sheetData>
  <pageMargins left="0.7" right="0.7" top="0.75" bottom="0.75" header="0.3" footer="0.3"/>
  <pageSetup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7CE9E-8490-8D4B-9367-D8BC94F0B51F}">
  <dimension ref="B2:G9"/>
  <sheetViews>
    <sheetView workbookViewId="0">
      <selection activeCell="B6" sqref="B6"/>
    </sheetView>
  </sheetViews>
  <sheetFormatPr baseColWidth="10" defaultRowHeight="16" x14ac:dyDescent="0.2"/>
  <cols>
    <col min="2" max="2" width="37.1640625" customWidth="1"/>
    <col min="3" max="3" width="2.83203125" customWidth="1"/>
    <col min="4" max="7" width="16.6640625" customWidth="1"/>
  </cols>
  <sheetData>
    <row r="2" spans="2:7" ht="21" x14ac:dyDescent="0.25">
      <c r="B2" s="45" t="s">
        <v>68</v>
      </c>
    </row>
    <row r="4" spans="2:7" ht="19" x14ac:dyDescent="0.35">
      <c r="B4" s="25"/>
      <c r="C4" s="25"/>
      <c r="D4" s="48" t="s">
        <v>2</v>
      </c>
      <c r="E4" s="48" t="s">
        <v>62</v>
      </c>
      <c r="F4" s="48" t="s">
        <v>63</v>
      </c>
      <c r="G4" s="48" t="s">
        <v>5</v>
      </c>
    </row>
    <row r="5" spans="2:7" x14ac:dyDescent="0.2">
      <c r="B5" s="49" t="s">
        <v>64</v>
      </c>
      <c r="C5" s="25"/>
      <c r="D5" s="25">
        <v>14139132</v>
      </c>
      <c r="E5" s="25">
        <v>3889484</v>
      </c>
      <c r="F5" s="25">
        <v>6452282</v>
      </c>
      <c r="G5" s="25">
        <v>24480898</v>
      </c>
    </row>
    <row r="6" spans="2:7" x14ac:dyDescent="0.2">
      <c r="B6" s="49" t="s">
        <v>65</v>
      </c>
      <c r="C6" s="25"/>
      <c r="D6" s="34">
        <v>19447850</v>
      </c>
      <c r="E6" s="34">
        <v>5933795</v>
      </c>
      <c r="F6" s="34">
        <v>8731200</v>
      </c>
      <c r="G6" s="34">
        <v>34306235</v>
      </c>
    </row>
    <row r="7" spans="2:7" x14ac:dyDescent="0.2">
      <c r="B7" s="25"/>
      <c r="C7" s="25"/>
      <c r="D7" s="25"/>
      <c r="E7" s="25"/>
      <c r="F7" s="49"/>
      <c r="G7" s="25"/>
    </row>
    <row r="8" spans="2:7" x14ac:dyDescent="0.2">
      <c r="B8" s="49" t="s">
        <v>66</v>
      </c>
      <c r="C8" s="25"/>
      <c r="D8" s="25">
        <v>5308718</v>
      </c>
      <c r="E8" s="25">
        <v>2044311</v>
      </c>
      <c r="F8" s="25">
        <v>2278918</v>
      </c>
      <c r="G8" s="25">
        <v>9825337</v>
      </c>
    </row>
    <row r="9" spans="2:7" x14ac:dyDescent="0.2">
      <c r="B9" s="49" t="s">
        <v>67</v>
      </c>
      <c r="C9" s="25"/>
      <c r="D9" s="50">
        <v>0.37546279361420487</v>
      </c>
      <c r="E9" s="50">
        <v>0.52559953968187034</v>
      </c>
      <c r="F9" s="50">
        <v>0.35319566007809328</v>
      </c>
      <c r="G9" s="51">
        <v>0.40134708293788895</v>
      </c>
    </row>
  </sheetData>
  <pageMargins left="0.7" right="0.7" top="0.75" bottom="0.75" header="0.3" footer="0.3"/>
  <pageSetup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E53BD-0ED1-B243-B294-CA377A5E703C}">
  <dimension ref="B3:G10"/>
  <sheetViews>
    <sheetView topLeftCell="A11" workbookViewId="0">
      <selection activeCell="E9" sqref="E9:E10"/>
    </sheetView>
  </sheetViews>
  <sheetFormatPr baseColWidth="10" defaultRowHeight="16" x14ac:dyDescent="0.2"/>
  <cols>
    <col min="5" max="5" width="11.5" bestFit="1" customWidth="1"/>
    <col min="7" max="7" width="11.5" bestFit="1" customWidth="1"/>
  </cols>
  <sheetData>
    <row r="3" spans="2:7" x14ac:dyDescent="0.2">
      <c r="B3" t="s">
        <v>53</v>
      </c>
    </row>
    <row r="5" spans="2:7" x14ac:dyDescent="0.2">
      <c r="B5" t="s">
        <v>54</v>
      </c>
    </row>
    <row r="7" spans="2:7" ht="21" x14ac:dyDescent="0.25">
      <c r="B7" s="45" t="s">
        <v>56</v>
      </c>
    </row>
    <row r="8" spans="2:7" x14ac:dyDescent="0.2">
      <c r="E8" t="s">
        <v>58</v>
      </c>
      <c r="F8" t="s">
        <v>59</v>
      </c>
    </row>
    <row r="9" spans="2:7" x14ac:dyDescent="0.2">
      <c r="B9" t="s">
        <v>55</v>
      </c>
      <c r="E9" s="42">
        <v>833419</v>
      </c>
      <c r="F9" s="44">
        <v>0.21099999999999999</v>
      </c>
      <c r="G9" s="42">
        <f>+E9*F9</f>
        <v>175851.40899999999</v>
      </c>
    </row>
    <row r="10" spans="2:7" x14ac:dyDescent="0.2">
      <c r="B10" t="s">
        <v>57</v>
      </c>
      <c r="E10" s="42">
        <v>58288.7</v>
      </c>
      <c r="F10" s="44">
        <v>0.21099999999999999</v>
      </c>
      <c r="G10" s="42">
        <f>+E10*F10</f>
        <v>12298.9157</v>
      </c>
    </row>
  </sheetData>
  <pageMargins left="0.7" right="0.7" top="0.75" bottom="0.75" header="0.3" footer="0.3"/>
  <pageSetup orientation="landscape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59979-3212-B240-9F14-2801ACCDB038}">
  <dimension ref="B2:D5"/>
  <sheetViews>
    <sheetView workbookViewId="0">
      <selection activeCell="D4" sqref="D4:D5"/>
    </sheetView>
  </sheetViews>
  <sheetFormatPr baseColWidth="10" defaultRowHeight="16" x14ac:dyDescent="0.2"/>
  <cols>
    <col min="4" max="4" width="11.5" bestFit="1" customWidth="1"/>
  </cols>
  <sheetData>
    <row r="2" spans="2:4" ht="21" x14ac:dyDescent="0.25">
      <c r="B2" s="45" t="s">
        <v>60</v>
      </c>
    </row>
    <row r="4" spans="2:4" x14ac:dyDescent="0.2">
      <c r="C4" t="s">
        <v>61</v>
      </c>
      <c r="D4" s="42">
        <v>505365.62</v>
      </c>
    </row>
    <row r="5" spans="2:4" x14ac:dyDescent="0.2">
      <c r="C5" t="s">
        <v>57</v>
      </c>
      <c r="D5" s="42">
        <v>54399</v>
      </c>
    </row>
  </sheetData>
  <pageMargins left="0.7" right="0.7" top="0.75" bottom="0.75" header="0.3" footer="0.3"/>
  <pageSetup orientation="landscape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A950C-9D63-3045-91E7-DCE87FBB3138}">
  <dimension ref="B3:H45"/>
  <sheetViews>
    <sheetView topLeftCell="A2" workbookViewId="0">
      <selection activeCell="G10" sqref="G10"/>
    </sheetView>
  </sheetViews>
  <sheetFormatPr baseColWidth="10" defaultRowHeight="16" x14ac:dyDescent="0.2"/>
  <cols>
    <col min="2" max="2" width="53.83203125" customWidth="1"/>
    <col min="4" max="6" width="14.6640625" customWidth="1"/>
    <col min="7" max="7" width="12.83203125" customWidth="1"/>
  </cols>
  <sheetData>
    <row r="3" spans="2:8" ht="21" x14ac:dyDescent="0.25">
      <c r="B3" s="45" t="s">
        <v>69</v>
      </c>
    </row>
    <row r="4" spans="2:8" x14ac:dyDescent="0.2">
      <c r="F4" s="53" t="s">
        <v>4</v>
      </c>
    </row>
    <row r="5" spans="2:8" x14ac:dyDescent="0.2">
      <c r="D5" s="52" t="s">
        <v>2</v>
      </c>
      <c r="E5" s="52" t="s">
        <v>3</v>
      </c>
      <c r="F5" s="52" t="s">
        <v>7</v>
      </c>
      <c r="G5" s="52" t="s">
        <v>5</v>
      </c>
    </row>
    <row r="7" spans="2:8" x14ac:dyDescent="0.2">
      <c r="B7" t="s">
        <v>70</v>
      </c>
      <c r="D7" s="42">
        <v>150000</v>
      </c>
      <c r="E7" s="42">
        <v>30000</v>
      </c>
      <c r="F7" s="42"/>
      <c r="G7" s="7"/>
    </row>
    <row r="8" spans="2:8" x14ac:dyDescent="0.2">
      <c r="D8" s="42"/>
      <c r="E8" s="42"/>
      <c r="F8" s="42"/>
      <c r="G8" s="42"/>
      <c r="H8" s="42"/>
    </row>
    <row r="9" spans="2:8" x14ac:dyDescent="0.2">
      <c r="B9" t="s">
        <v>74</v>
      </c>
      <c r="D9" s="42">
        <f>400*909</f>
        <v>363600</v>
      </c>
      <c r="E9" s="42">
        <v>0</v>
      </c>
      <c r="F9" s="42">
        <v>0</v>
      </c>
      <c r="G9" s="42"/>
      <c r="H9" s="42"/>
    </row>
    <row r="10" spans="2:8" x14ac:dyDescent="0.2">
      <c r="D10" s="42"/>
      <c r="E10" s="42"/>
      <c r="F10" s="42"/>
      <c r="G10" s="42"/>
      <c r="H10" s="42"/>
    </row>
    <row r="11" spans="2:8" x14ac:dyDescent="0.2">
      <c r="B11" t="s">
        <v>71</v>
      </c>
      <c r="D11" s="47">
        <v>150000</v>
      </c>
      <c r="E11" s="47">
        <v>50000</v>
      </c>
      <c r="F11" s="47">
        <v>10000</v>
      </c>
      <c r="G11" s="42"/>
      <c r="H11" s="42"/>
    </row>
    <row r="12" spans="2:8" x14ac:dyDescent="0.2">
      <c r="D12" s="42"/>
      <c r="E12" s="42"/>
      <c r="F12" s="42"/>
      <c r="G12" s="42"/>
      <c r="H12" s="42"/>
    </row>
    <row r="13" spans="2:8" ht="17" thickBot="1" x14ac:dyDescent="0.25">
      <c r="D13" s="47">
        <f>SUM(D7:D11)</f>
        <v>663600</v>
      </c>
      <c r="E13" s="54">
        <f t="shared" ref="E13:F13" si="0">SUM(E7:E11)</f>
        <v>80000</v>
      </c>
      <c r="F13" s="54">
        <f t="shared" si="0"/>
        <v>10000</v>
      </c>
      <c r="G13" s="42"/>
      <c r="H13" s="42"/>
    </row>
    <row r="14" spans="2:8" ht="17" thickTop="1" x14ac:dyDescent="0.2">
      <c r="D14" s="42"/>
      <c r="E14" s="42"/>
      <c r="F14" s="42"/>
      <c r="G14" s="42"/>
      <c r="H14" s="42"/>
    </row>
    <row r="15" spans="2:8" ht="17" thickBot="1" x14ac:dyDescent="0.25">
      <c r="B15" t="s">
        <v>73</v>
      </c>
      <c r="D15" s="54">
        <f>+D13*0.211</f>
        <v>140019.6</v>
      </c>
      <c r="E15" s="42"/>
      <c r="F15" s="42"/>
      <c r="G15" s="42"/>
      <c r="H15" s="42"/>
    </row>
    <row r="16" spans="2:8" ht="17" thickTop="1" x14ac:dyDescent="0.2">
      <c r="D16" s="42"/>
      <c r="E16" s="42"/>
      <c r="F16" s="42"/>
      <c r="G16" s="42"/>
      <c r="H16" s="42"/>
    </row>
    <row r="17" spans="2:8" ht="17" thickBot="1" x14ac:dyDescent="0.25">
      <c r="B17" t="s">
        <v>72</v>
      </c>
      <c r="D17" s="54">
        <f>+D15*20</f>
        <v>2800392</v>
      </c>
      <c r="E17" s="54">
        <f>+E13*20</f>
        <v>1600000</v>
      </c>
      <c r="F17" s="54">
        <f>+F13*20</f>
        <v>200000</v>
      </c>
      <c r="G17" s="54">
        <f>SUM(D17:F17)</f>
        <v>4600392</v>
      </c>
      <c r="H17" s="42"/>
    </row>
    <row r="18" spans="2:8" ht="17" thickTop="1" x14ac:dyDescent="0.2">
      <c r="D18" s="42"/>
      <c r="E18" s="42"/>
      <c r="F18" s="42"/>
      <c r="G18" s="42"/>
      <c r="H18" s="42"/>
    </row>
    <row r="19" spans="2:8" x14ac:dyDescent="0.2">
      <c r="B19" t="s">
        <v>76</v>
      </c>
      <c r="D19" s="42">
        <f>+D17/193</f>
        <v>14509.80310880829</v>
      </c>
      <c r="E19" s="42">
        <f t="shared" ref="E19:F19" si="1">+E17/193</f>
        <v>8290.1554404145081</v>
      </c>
      <c r="F19" s="42">
        <f t="shared" si="1"/>
        <v>1036.2694300518135</v>
      </c>
      <c r="G19" s="42">
        <f>+G17/193</f>
        <v>23836.227979274612</v>
      </c>
      <c r="H19" s="42"/>
    </row>
    <row r="20" spans="2:8" x14ac:dyDescent="0.2">
      <c r="D20" s="42"/>
      <c r="E20" s="42"/>
      <c r="F20" s="42"/>
      <c r="G20" s="42"/>
      <c r="H20" s="42"/>
    </row>
    <row r="21" spans="2:8" x14ac:dyDescent="0.2">
      <c r="B21" t="s">
        <v>77</v>
      </c>
      <c r="D21" s="42">
        <f>+D19/20</f>
        <v>725.49015544041447</v>
      </c>
      <c r="E21" s="42">
        <f t="shared" ref="E21:F21" si="2">+E19/20</f>
        <v>414.50777202072538</v>
      </c>
      <c r="F21" s="42">
        <f t="shared" si="2"/>
        <v>51.813471502590673</v>
      </c>
      <c r="G21" s="42">
        <f>SUM(D21:F21)</f>
        <v>1191.8113989637304</v>
      </c>
      <c r="H21" s="42"/>
    </row>
    <row r="22" spans="2:8" x14ac:dyDescent="0.2">
      <c r="D22" s="42"/>
      <c r="E22" s="42"/>
      <c r="F22" s="42"/>
      <c r="G22" s="42"/>
      <c r="H22" s="42"/>
    </row>
    <row r="23" spans="2:8" x14ac:dyDescent="0.2">
      <c r="D23" s="42"/>
      <c r="E23" s="42"/>
      <c r="F23" s="42"/>
      <c r="G23" s="42"/>
      <c r="H23" s="42"/>
    </row>
    <row r="24" spans="2:8" x14ac:dyDescent="0.2">
      <c r="D24" s="42"/>
      <c r="E24" s="42"/>
      <c r="F24" s="42"/>
      <c r="G24" s="42"/>
      <c r="H24" s="42"/>
    </row>
    <row r="25" spans="2:8" x14ac:dyDescent="0.2">
      <c r="D25" s="42"/>
      <c r="E25" s="42"/>
      <c r="F25" s="42"/>
      <c r="G25" s="42"/>
      <c r="H25" s="42"/>
    </row>
    <row r="26" spans="2:8" x14ac:dyDescent="0.2">
      <c r="D26" s="42"/>
      <c r="E26" s="42"/>
      <c r="F26" s="42"/>
      <c r="G26" s="42"/>
      <c r="H26" s="42"/>
    </row>
    <row r="27" spans="2:8" x14ac:dyDescent="0.2">
      <c r="D27" s="42"/>
      <c r="E27" s="42"/>
      <c r="F27" s="42"/>
      <c r="G27" s="42"/>
      <c r="H27" s="42"/>
    </row>
    <row r="28" spans="2:8" x14ac:dyDescent="0.2">
      <c r="D28" s="42"/>
      <c r="E28" s="42"/>
      <c r="F28" s="42"/>
      <c r="G28" s="42"/>
      <c r="H28" s="42"/>
    </row>
    <row r="29" spans="2:8" x14ac:dyDescent="0.2">
      <c r="D29" s="42"/>
      <c r="E29" s="42"/>
      <c r="F29" s="42"/>
      <c r="G29" s="42"/>
      <c r="H29" s="42"/>
    </row>
    <row r="30" spans="2:8" x14ac:dyDescent="0.2">
      <c r="D30" s="42"/>
      <c r="E30" s="42"/>
      <c r="F30" s="42"/>
      <c r="G30" s="42"/>
      <c r="H30" s="42"/>
    </row>
    <row r="31" spans="2:8" x14ac:dyDescent="0.2">
      <c r="D31" s="42"/>
      <c r="E31" s="42"/>
      <c r="F31" s="42"/>
      <c r="G31" s="42"/>
      <c r="H31" s="42"/>
    </row>
    <row r="32" spans="2:8" x14ac:dyDescent="0.2">
      <c r="D32" s="42"/>
      <c r="E32" s="42"/>
      <c r="F32" s="42"/>
      <c r="G32" s="42"/>
      <c r="H32" s="42"/>
    </row>
    <row r="33" spans="4:8" x14ac:dyDescent="0.2">
      <c r="D33" s="42"/>
      <c r="E33" s="42"/>
      <c r="F33" s="42"/>
      <c r="G33" s="42"/>
      <c r="H33" s="42"/>
    </row>
    <row r="34" spans="4:8" x14ac:dyDescent="0.2">
      <c r="D34" s="42"/>
      <c r="E34" s="42"/>
      <c r="F34" s="42"/>
      <c r="G34" s="42"/>
      <c r="H34" s="42"/>
    </row>
    <row r="35" spans="4:8" x14ac:dyDescent="0.2">
      <c r="D35" s="42"/>
      <c r="E35" s="42"/>
      <c r="F35" s="42"/>
      <c r="G35" s="42"/>
      <c r="H35" s="42"/>
    </row>
    <row r="36" spans="4:8" x14ac:dyDescent="0.2">
      <c r="D36" s="42"/>
      <c r="E36" s="42"/>
      <c r="F36" s="42"/>
      <c r="G36" s="42"/>
      <c r="H36" s="42"/>
    </row>
    <row r="37" spans="4:8" x14ac:dyDescent="0.2">
      <c r="D37" s="42"/>
      <c r="E37" s="42"/>
      <c r="F37" s="42"/>
      <c r="G37" s="42"/>
      <c r="H37" s="42"/>
    </row>
    <row r="38" spans="4:8" x14ac:dyDescent="0.2">
      <c r="D38" s="42"/>
      <c r="E38" s="42"/>
      <c r="F38" s="42"/>
      <c r="G38" s="42"/>
      <c r="H38" s="42"/>
    </row>
    <row r="39" spans="4:8" x14ac:dyDescent="0.2">
      <c r="D39" s="42"/>
      <c r="E39" s="42"/>
      <c r="F39" s="42"/>
      <c r="G39" s="42"/>
      <c r="H39" s="42"/>
    </row>
    <row r="40" spans="4:8" x14ac:dyDescent="0.2">
      <c r="D40" s="42"/>
      <c r="E40" s="42"/>
      <c r="F40" s="42"/>
      <c r="G40" s="42"/>
      <c r="H40" s="42"/>
    </row>
    <row r="41" spans="4:8" x14ac:dyDescent="0.2">
      <c r="D41" s="42"/>
      <c r="E41" s="42"/>
      <c r="F41" s="42"/>
      <c r="G41" s="42"/>
      <c r="H41" s="42"/>
    </row>
    <row r="42" spans="4:8" x14ac:dyDescent="0.2">
      <c r="D42" s="42"/>
      <c r="E42" s="42"/>
      <c r="F42" s="42"/>
      <c r="G42" s="42"/>
      <c r="H42" s="42"/>
    </row>
    <row r="43" spans="4:8" x14ac:dyDescent="0.2">
      <c r="D43" s="42"/>
      <c r="E43" s="42"/>
      <c r="F43" s="42"/>
      <c r="G43" s="42"/>
      <c r="H43" s="42"/>
    </row>
    <row r="44" spans="4:8" x14ac:dyDescent="0.2">
      <c r="D44" s="42"/>
      <c r="E44" s="42"/>
      <c r="F44" s="42"/>
      <c r="G44" s="42"/>
      <c r="H44" s="42"/>
    </row>
    <row r="45" spans="4:8" x14ac:dyDescent="0.2">
      <c r="D45" s="42"/>
      <c r="E45" s="42"/>
      <c r="F45" s="42"/>
      <c r="G45" s="42"/>
      <c r="H45" s="42"/>
    </row>
  </sheetData>
  <pageMargins left="0.7" right="0.7" top="0.75" bottom="0.75" header="0.3" footer="0.3"/>
  <pageSetup orientation="landscape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C55CE-AADA-6A42-A235-7B968749AE0F}">
  <dimension ref="A3:R1007"/>
  <sheetViews>
    <sheetView workbookViewId="0">
      <selection activeCell="U3" sqref="U1:U1048576"/>
    </sheetView>
  </sheetViews>
  <sheetFormatPr baseColWidth="10" defaultColWidth="14.5" defaultRowHeight="16" x14ac:dyDescent="0.2"/>
  <cols>
    <col min="1" max="1" width="15.83203125" customWidth="1"/>
    <col min="2" max="2" width="12.6640625" customWidth="1"/>
    <col min="3" max="4" width="11.83203125" customWidth="1"/>
    <col min="5" max="5" width="17.83203125" customWidth="1"/>
    <col min="6" max="6" width="4.83203125" customWidth="1"/>
    <col min="7" max="7" width="5.5" customWidth="1"/>
    <col min="8" max="8" width="16.6640625" customWidth="1"/>
    <col min="9" max="12" width="11.6640625" customWidth="1"/>
    <col min="13" max="13" width="11.5" customWidth="1"/>
    <col min="14" max="14" width="16.6640625" customWidth="1"/>
    <col min="15" max="15" width="13.1640625" customWidth="1"/>
    <col min="16" max="16" width="12.5" customWidth="1"/>
    <col min="17" max="18" width="11.6640625" customWidth="1"/>
    <col min="19" max="26" width="8.6640625" customWidth="1"/>
  </cols>
  <sheetData>
    <row r="3" spans="1:18" ht="15" customHeight="1" x14ac:dyDescent="0.2">
      <c r="B3" s="67" t="s">
        <v>129</v>
      </c>
      <c r="C3" s="67"/>
      <c r="H3" s="67" t="s">
        <v>130</v>
      </c>
      <c r="N3" s="67" t="s">
        <v>131</v>
      </c>
    </row>
    <row r="5" spans="1:18" ht="14.25" customHeight="1" x14ac:dyDescent="0.2">
      <c r="B5" s="68" t="s">
        <v>117</v>
      </c>
      <c r="C5" s="68" t="s">
        <v>118</v>
      </c>
      <c r="D5" s="68" t="s">
        <v>119</v>
      </c>
      <c r="I5" s="68" t="s">
        <v>117</v>
      </c>
      <c r="J5" s="68" t="s">
        <v>118</v>
      </c>
      <c r="K5" s="68" t="s">
        <v>119</v>
      </c>
      <c r="O5" s="68" t="s">
        <v>117</v>
      </c>
      <c r="P5" s="68" t="s">
        <v>118</v>
      </c>
      <c r="Q5" s="68" t="s">
        <v>119</v>
      </c>
    </row>
    <row r="6" spans="1:18" ht="14.25" customHeight="1" x14ac:dyDescent="0.2">
      <c r="A6" s="68" t="s">
        <v>120</v>
      </c>
      <c r="B6" s="69">
        <f>+'Summary Sheet'!B49</f>
        <v>4815332.0677000815</v>
      </c>
      <c r="C6" s="69">
        <f>B6</f>
        <v>4815332.0677000815</v>
      </c>
      <c r="E6" s="70"/>
      <c r="F6" s="71"/>
      <c r="G6" s="71"/>
      <c r="H6" s="68" t="s">
        <v>120</v>
      </c>
      <c r="I6" s="69">
        <f>+'Summary Sheet'!E49</f>
        <v>6936137.5319184922</v>
      </c>
      <c r="J6" s="69">
        <f>I6</f>
        <v>6936137.5319184922</v>
      </c>
      <c r="L6" s="70"/>
      <c r="M6" s="68"/>
      <c r="N6" s="68" t="s">
        <v>120</v>
      </c>
      <c r="O6" s="69">
        <f>+'Summary Sheet'!H49</f>
        <v>3850034.8128875745</v>
      </c>
      <c r="P6" s="69">
        <f>O6</f>
        <v>3850034.8128875745</v>
      </c>
      <c r="R6" s="70"/>
    </row>
    <row r="7" spans="1:18" ht="14.25" customHeight="1" x14ac:dyDescent="0.2">
      <c r="A7" s="68" t="s">
        <v>121</v>
      </c>
      <c r="B7" s="72">
        <v>0.02</v>
      </c>
      <c r="C7" s="72">
        <f>B7/12</f>
        <v>1.6666666666666668E-3</v>
      </c>
      <c r="F7" s="69"/>
      <c r="G7" s="69"/>
      <c r="H7" s="68" t="s">
        <v>121</v>
      </c>
      <c r="I7" s="72">
        <v>0.02</v>
      </c>
      <c r="J7" s="72">
        <f>I7/12</f>
        <v>1.6666666666666668E-3</v>
      </c>
      <c r="M7" s="69"/>
      <c r="N7" s="68" t="s">
        <v>121</v>
      </c>
      <c r="O7" s="77">
        <v>0.06</v>
      </c>
      <c r="P7" s="72">
        <f>O7/12</f>
        <v>5.0000000000000001E-3</v>
      </c>
    </row>
    <row r="8" spans="1:18" ht="14.25" customHeight="1" x14ac:dyDescent="0.2">
      <c r="A8" s="68" t="s">
        <v>122</v>
      </c>
      <c r="B8" s="68">
        <v>20</v>
      </c>
      <c r="C8" s="68">
        <f>B8*12</f>
        <v>240</v>
      </c>
      <c r="H8" s="68" t="s">
        <v>122</v>
      </c>
      <c r="I8" s="68">
        <v>20</v>
      </c>
      <c r="J8" s="68">
        <f>I8*12</f>
        <v>240</v>
      </c>
      <c r="N8" s="68" t="s">
        <v>122</v>
      </c>
      <c r="O8" s="68">
        <v>5</v>
      </c>
      <c r="P8" s="68">
        <f>O8*12</f>
        <v>60</v>
      </c>
    </row>
    <row r="9" spans="1:18" ht="14.25" customHeight="1" x14ac:dyDescent="0.2">
      <c r="A9" s="68" t="s">
        <v>18</v>
      </c>
      <c r="B9" s="73">
        <f>SUM(B15:B26)</f>
        <v>292319.54949093802</v>
      </c>
      <c r="C9" s="73">
        <f>B15</f>
        <v>24359.962457578171</v>
      </c>
      <c r="D9" s="74">
        <f>B9/193</f>
        <v>1514.6090647198862</v>
      </c>
      <c r="H9" s="68" t="s">
        <v>18</v>
      </c>
      <c r="I9" s="73">
        <f>SUM(I15:I26)</f>
        <v>421065.1664374242</v>
      </c>
      <c r="J9" s="73">
        <f>I15</f>
        <v>35088.763869785347</v>
      </c>
      <c r="K9" s="74">
        <f>I9/193</f>
        <v>2181.6848001939079</v>
      </c>
      <c r="N9" s="68" t="s">
        <v>18</v>
      </c>
      <c r="O9" s="73">
        <f>SUM(O15:O26)</f>
        <v>893183.50702732347</v>
      </c>
      <c r="P9" s="73">
        <f>O15</f>
        <v>74431.958918943608</v>
      </c>
      <c r="Q9" s="74">
        <f>O9/193</f>
        <v>4627.8938187944223</v>
      </c>
    </row>
    <row r="10" spans="1:18" ht="14.25" customHeight="1" x14ac:dyDescent="0.2">
      <c r="A10" s="68"/>
      <c r="B10" s="73"/>
      <c r="C10" s="73"/>
      <c r="D10" s="74"/>
      <c r="H10" s="68"/>
      <c r="I10" s="73"/>
      <c r="J10" s="73"/>
      <c r="K10" s="74"/>
      <c r="N10" s="68"/>
      <c r="O10" s="73"/>
      <c r="P10" s="73"/>
      <c r="Q10" s="74"/>
    </row>
    <row r="11" spans="1:18" ht="14.25" customHeight="1" x14ac:dyDescent="0.2">
      <c r="B11" s="6" t="s">
        <v>123</v>
      </c>
      <c r="C11" s="75">
        <f>SUM(C15:C254)</f>
        <v>1031058.9221186774</v>
      </c>
      <c r="J11" s="75">
        <f>SUM(J15:J254)</f>
        <v>1485165.796829988</v>
      </c>
      <c r="O11" s="75"/>
      <c r="P11" s="75">
        <f>SUM(P15:P74)</f>
        <v>615882.72224904352</v>
      </c>
      <c r="Q11" s="75"/>
    </row>
    <row r="12" spans="1:18" ht="14.25" customHeight="1" x14ac:dyDescent="0.2">
      <c r="C12" s="76"/>
    </row>
    <row r="13" spans="1:18" ht="14.25" customHeight="1" x14ac:dyDescent="0.2">
      <c r="A13" s="68" t="s">
        <v>124</v>
      </c>
      <c r="B13" s="68" t="s">
        <v>125</v>
      </c>
      <c r="C13" s="68" t="s">
        <v>126</v>
      </c>
      <c r="D13" s="68" t="s">
        <v>127</v>
      </c>
      <c r="E13" s="68" t="s">
        <v>128</v>
      </c>
      <c r="H13" s="68" t="s">
        <v>124</v>
      </c>
      <c r="I13" s="68" t="s">
        <v>125</v>
      </c>
      <c r="J13" s="68" t="s">
        <v>126</v>
      </c>
      <c r="K13" s="68" t="s">
        <v>127</v>
      </c>
      <c r="L13" s="68" t="s">
        <v>128</v>
      </c>
      <c r="N13" s="68" t="s">
        <v>124</v>
      </c>
      <c r="O13" s="68" t="s">
        <v>125</v>
      </c>
      <c r="P13" s="68" t="s">
        <v>126</v>
      </c>
      <c r="Q13" s="68" t="s">
        <v>127</v>
      </c>
      <c r="R13" s="68" t="s">
        <v>128</v>
      </c>
    </row>
    <row r="14" spans="1:18" ht="14.25" customHeight="1" x14ac:dyDescent="0.2">
      <c r="A14" s="68">
        <v>0</v>
      </c>
      <c r="E14" s="69">
        <f>B6</f>
        <v>4815332.0677000815</v>
      </c>
      <c r="H14" s="68">
        <v>0</v>
      </c>
      <c r="L14" s="69">
        <f>I6</f>
        <v>6936137.5319184922</v>
      </c>
      <c r="N14" s="68">
        <v>0</v>
      </c>
      <c r="R14" s="69">
        <f>O6</f>
        <v>3850034.8128875745</v>
      </c>
    </row>
    <row r="15" spans="1:18" ht="14.25" customHeight="1" x14ac:dyDescent="0.2">
      <c r="A15" s="68">
        <v>1</v>
      </c>
      <c r="B15" s="73">
        <f t="shared" ref="B15:B254" si="0">PMT($C$7,$C$8,-$C$6,0,)</f>
        <v>24359.962457578171</v>
      </c>
      <c r="C15" s="73">
        <f>C6*C7</f>
        <v>8025.553446166803</v>
      </c>
      <c r="D15" s="73">
        <f t="shared" ref="D15:D254" si="1">B15-C15</f>
        <v>16334.409011411368</v>
      </c>
      <c r="E15" s="69">
        <f t="shared" ref="E15:E78" si="2">E14-D15</f>
        <v>4798997.65868867</v>
      </c>
      <c r="H15" s="68">
        <v>1</v>
      </c>
      <c r="I15" s="73">
        <f>PMT($J$7,$J$8,-$J$6,0,)</f>
        <v>35088.763869785347</v>
      </c>
      <c r="J15" s="73">
        <f>J6*J7</f>
        <v>11560.229219864153</v>
      </c>
      <c r="K15" s="73">
        <f t="shared" ref="K15:K78" si="3">I15-J15</f>
        <v>23528.534649921196</v>
      </c>
      <c r="L15" s="69">
        <f t="shared" ref="L15:L78" si="4">L14-K15</f>
        <v>6912608.9972685706</v>
      </c>
      <c r="N15" s="68">
        <v>1</v>
      </c>
      <c r="O15" s="73">
        <f>PMT($P$7,$P$8,-$P$6,0,)</f>
        <v>74431.958918943608</v>
      </c>
      <c r="P15" s="73">
        <f>P$6*P$7</f>
        <v>19250.174064437873</v>
      </c>
      <c r="Q15" s="73">
        <f t="shared" ref="Q15:Q74" si="5">O15-P15</f>
        <v>55181.784854505735</v>
      </c>
      <c r="R15" s="69">
        <f t="shared" ref="R15:R74" si="6">R14-Q15</f>
        <v>3794853.0280330689</v>
      </c>
    </row>
    <row r="16" spans="1:18" ht="14.25" customHeight="1" x14ac:dyDescent="0.2">
      <c r="A16" s="68">
        <v>2</v>
      </c>
      <c r="B16" s="73">
        <f t="shared" si="0"/>
        <v>24359.962457578171</v>
      </c>
      <c r="C16" s="73">
        <f t="shared" ref="C16:C254" si="7">E15*$C$7</f>
        <v>7998.3294311477839</v>
      </c>
      <c r="D16" s="73">
        <f t="shared" si="1"/>
        <v>16361.633026430387</v>
      </c>
      <c r="E16" s="69">
        <f t="shared" si="2"/>
        <v>4782636.0256622396</v>
      </c>
      <c r="H16" s="68">
        <v>2</v>
      </c>
      <c r="I16" s="73">
        <f t="shared" ref="I16:I79" si="8">PMT($J$7,$J$8,-$J$6,0,)</f>
        <v>35088.763869785347</v>
      </c>
      <c r="J16" s="73">
        <f t="shared" ref="J16:J79" si="9">L15*$C$7</f>
        <v>11521.014995447618</v>
      </c>
      <c r="K16" s="73">
        <f t="shared" si="3"/>
        <v>23567.748874337729</v>
      </c>
      <c r="L16" s="69">
        <f t="shared" si="4"/>
        <v>6889041.2483942332</v>
      </c>
      <c r="N16" s="68">
        <v>2</v>
      </c>
      <c r="O16" s="73">
        <f t="shared" ref="O16:O74" si="10">PMT($P$7,$P$8,-$P$6,0,)</f>
        <v>74431.958918943608</v>
      </c>
      <c r="P16" s="73">
        <f>+R15*P$7</f>
        <v>18974.265140165346</v>
      </c>
      <c r="Q16" s="73">
        <f t="shared" si="5"/>
        <v>55457.693778778266</v>
      </c>
      <c r="R16" s="69">
        <f t="shared" si="6"/>
        <v>3739395.3342542904</v>
      </c>
    </row>
    <row r="17" spans="1:18" ht="14.25" customHeight="1" x14ac:dyDescent="0.2">
      <c r="A17" s="68">
        <v>3</v>
      </c>
      <c r="B17" s="73">
        <f t="shared" si="0"/>
        <v>24359.962457578171</v>
      </c>
      <c r="C17" s="73">
        <f t="shared" si="7"/>
        <v>7971.0600427704003</v>
      </c>
      <c r="D17" s="73">
        <f t="shared" si="1"/>
        <v>16388.90241480777</v>
      </c>
      <c r="E17" s="69">
        <f t="shared" si="2"/>
        <v>4766247.1232474316</v>
      </c>
      <c r="H17" s="68">
        <v>3</v>
      </c>
      <c r="I17" s="73">
        <f t="shared" si="8"/>
        <v>35088.763869785347</v>
      </c>
      <c r="J17" s="73">
        <f t="shared" si="9"/>
        <v>11481.735413990389</v>
      </c>
      <c r="K17" s="73">
        <f t="shared" si="3"/>
        <v>23607.028455794956</v>
      </c>
      <c r="L17" s="69">
        <f t="shared" si="4"/>
        <v>6865434.2199384384</v>
      </c>
      <c r="N17" s="68">
        <v>3</v>
      </c>
      <c r="O17" s="73">
        <f t="shared" si="10"/>
        <v>74431.958918943608</v>
      </c>
      <c r="P17" s="73">
        <f t="shared" ref="P17:P74" si="11">+R16*P$7</f>
        <v>18696.976671271452</v>
      </c>
      <c r="Q17" s="73">
        <f t="shared" si="5"/>
        <v>55734.98224767216</v>
      </c>
      <c r="R17" s="69">
        <f t="shared" si="6"/>
        <v>3683660.3520066184</v>
      </c>
    </row>
    <row r="18" spans="1:18" ht="14.25" customHeight="1" x14ac:dyDescent="0.2">
      <c r="A18" s="68">
        <v>4</v>
      </c>
      <c r="B18" s="73">
        <f t="shared" si="0"/>
        <v>24359.962457578171</v>
      </c>
      <c r="C18" s="73">
        <f t="shared" si="7"/>
        <v>7943.7452054123869</v>
      </c>
      <c r="D18" s="73">
        <f t="shared" si="1"/>
        <v>16416.217252165785</v>
      </c>
      <c r="E18" s="69">
        <f t="shared" si="2"/>
        <v>4749830.9059952656</v>
      </c>
      <c r="H18" s="68">
        <v>4</v>
      </c>
      <c r="I18" s="73">
        <f t="shared" si="8"/>
        <v>35088.763869785347</v>
      </c>
      <c r="J18" s="73">
        <f t="shared" si="9"/>
        <v>11442.390366564065</v>
      </c>
      <c r="K18" s="73">
        <f t="shared" si="3"/>
        <v>23646.373503221283</v>
      </c>
      <c r="L18" s="69">
        <f t="shared" si="4"/>
        <v>6841787.8464352172</v>
      </c>
      <c r="N18" s="68">
        <v>4</v>
      </c>
      <c r="O18" s="73">
        <f t="shared" si="10"/>
        <v>74431.958918943608</v>
      </c>
      <c r="P18" s="73">
        <f t="shared" si="11"/>
        <v>18418.301760033093</v>
      </c>
      <c r="Q18" s="73">
        <f t="shared" si="5"/>
        <v>56013.657158910515</v>
      </c>
      <c r="R18" s="69">
        <f t="shared" si="6"/>
        <v>3627646.6948477081</v>
      </c>
    </row>
    <row r="19" spans="1:18" ht="14.25" customHeight="1" x14ac:dyDescent="0.2">
      <c r="A19" s="68">
        <v>5</v>
      </c>
      <c r="B19" s="73">
        <f t="shared" si="0"/>
        <v>24359.962457578171</v>
      </c>
      <c r="C19" s="73">
        <f t="shared" si="7"/>
        <v>7916.3848433254434</v>
      </c>
      <c r="D19" s="73">
        <f t="shared" si="1"/>
        <v>16443.577614252728</v>
      </c>
      <c r="E19" s="69">
        <f t="shared" si="2"/>
        <v>4733387.3283810131</v>
      </c>
      <c r="H19" s="68">
        <v>5</v>
      </c>
      <c r="I19" s="73">
        <f t="shared" si="8"/>
        <v>35088.763869785347</v>
      </c>
      <c r="J19" s="73">
        <f t="shared" si="9"/>
        <v>11402.979744058695</v>
      </c>
      <c r="K19" s="73">
        <f t="shared" si="3"/>
        <v>23685.784125726652</v>
      </c>
      <c r="L19" s="69">
        <f t="shared" si="4"/>
        <v>6818102.0623094905</v>
      </c>
      <c r="N19" s="68">
        <v>5</v>
      </c>
      <c r="O19" s="73">
        <f t="shared" si="10"/>
        <v>74431.958918943608</v>
      </c>
      <c r="P19" s="73">
        <f t="shared" si="11"/>
        <v>18138.233474238539</v>
      </c>
      <c r="Q19" s="73">
        <f t="shared" si="5"/>
        <v>56293.725444705065</v>
      </c>
      <c r="R19" s="69">
        <f t="shared" si="6"/>
        <v>3571352.9694030029</v>
      </c>
    </row>
    <row r="20" spans="1:18" ht="14.25" customHeight="1" x14ac:dyDescent="0.2">
      <c r="A20" s="68">
        <v>6</v>
      </c>
      <c r="B20" s="73">
        <f t="shared" si="0"/>
        <v>24359.962457578171</v>
      </c>
      <c r="C20" s="73">
        <f t="shared" si="7"/>
        <v>7888.9788806350225</v>
      </c>
      <c r="D20" s="73">
        <f t="shared" si="1"/>
        <v>16470.983576943148</v>
      </c>
      <c r="E20" s="69">
        <f t="shared" si="2"/>
        <v>4716916.34480407</v>
      </c>
      <c r="H20" s="68">
        <v>6</v>
      </c>
      <c r="I20" s="73">
        <f t="shared" si="8"/>
        <v>35088.763869785347</v>
      </c>
      <c r="J20" s="73">
        <f t="shared" si="9"/>
        <v>11363.503437182484</v>
      </c>
      <c r="K20" s="73">
        <f t="shared" si="3"/>
        <v>23725.260432602863</v>
      </c>
      <c r="L20" s="69">
        <f t="shared" si="4"/>
        <v>6794376.8018768877</v>
      </c>
      <c r="N20" s="68">
        <v>6</v>
      </c>
      <c r="O20" s="73">
        <f t="shared" si="10"/>
        <v>74431.958918943608</v>
      </c>
      <c r="P20" s="73">
        <f t="shared" si="11"/>
        <v>17856.764847015016</v>
      </c>
      <c r="Q20" s="73">
        <f t="shared" si="5"/>
        <v>56575.194071928592</v>
      </c>
      <c r="R20" s="69">
        <f t="shared" si="6"/>
        <v>3514777.7753310744</v>
      </c>
    </row>
    <row r="21" spans="1:18" ht="14.25" customHeight="1" x14ac:dyDescent="0.2">
      <c r="A21" s="68">
        <v>7</v>
      </c>
      <c r="B21" s="73">
        <f t="shared" si="0"/>
        <v>24359.962457578171</v>
      </c>
      <c r="C21" s="73">
        <f t="shared" si="7"/>
        <v>7861.5272413401171</v>
      </c>
      <c r="D21" s="73">
        <f t="shared" si="1"/>
        <v>16498.435216238053</v>
      </c>
      <c r="E21" s="69">
        <f t="shared" si="2"/>
        <v>4700417.9095878322</v>
      </c>
      <c r="H21" s="68">
        <v>7</v>
      </c>
      <c r="I21" s="73">
        <f t="shared" si="8"/>
        <v>35088.763869785347</v>
      </c>
      <c r="J21" s="73">
        <f t="shared" si="9"/>
        <v>11323.96133646148</v>
      </c>
      <c r="K21" s="73">
        <f t="shared" si="3"/>
        <v>23764.802533323869</v>
      </c>
      <c r="L21" s="69">
        <f t="shared" si="4"/>
        <v>6770611.9993435638</v>
      </c>
      <c r="N21" s="68">
        <v>7</v>
      </c>
      <c r="O21" s="73">
        <f t="shared" si="10"/>
        <v>74431.958918943608</v>
      </c>
      <c r="P21" s="73">
        <f t="shared" si="11"/>
        <v>17573.888876655372</v>
      </c>
      <c r="Q21" s="73">
        <f t="shared" si="5"/>
        <v>56858.070042288236</v>
      </c>
      <c r="R21" s="69">
        <f t="shared" si="6"/>
        <v>3457919.705288786</v>
      </c>
    </row>
    <row r="22" spans="1:18" ht="14.25" customHeight="1" x14ac:dyDescent="0.2">
      <c r="A22" s="68">
        <v>8</v>
      </c>
      <c r="B22" s="73">
        <f t="shared" si="0"/>
        <v>24359.962457578171</v>
      </c>
      <c r="C22" s="73">
        <f t="shared" si="7"/>
        <v>7834.029849313054</v>
      </c>
      <c r="D22" s="73">
        <f t="shared" si="1"/>
        <v>16525.932608265117</v>
      </c>
      <c r="E22" s="69">
        <f t="shared" si="2"/>
        <v>4683891.9769795667</v>
      </c>
      <c r="H22" s="68">
        <v>8</v>
      </c>
      <c r="I22" s="73">
        <f t="shared" si="8"/>
        <v>35088.763869785347</v>
      </c>
      <c r="J22" s="73">
        <f t="shared" si="9"/>
        <v>11284.353332239274</v>
      </c>
      <c r="K22" s="73">
        <f t="shared" si="3"/>
        <v>23804.410537546071</v>
      </c>
      <c r="L22" s="69">
        <f t="shared" si="4"/>
        <v>6746807.5888060173</v>
      </c>
      <c r="N22" s="68">
        <v>8</v>
      </c>
      <c r="O22" s="73">
        <f t="shared" si="10"/>
        <v>74431.958918943608</v>
      </c>
      <c r="P22" s="73">
        <f t="shared" si="11"/>
        <v>17289.59852644393</v>
      </c>
      <c r="Q22" s="73">
        <f t="shared" si="5"/>
        <v>57142.360392499679</v>
      </c>
      <c r="R22" s="69">
        <f t="shared" si="6"/>
        <v>3400777.3448962863</v>
      </c>
    </row>
    <row r="23" spans="1:18" ht="14.25" customHeight="1" x14ac:dyDescent="0.2">
      <c r="A23" s="68">
        <v>9</v>
      </c>
      <c r="B23" s="73">
        <f t="shared" si="0"/>
        <v>24359.962457578171</v>
      </c>
      <c r="C23" s="73">
        <f t="shared" si="7"/>
        <v>7806.486628299278</v>
      </c>
      <c r="D23" s="73">
        <f t="shared" si="1"/>
        <v>16553.475829278894</v>
      </c>
      <c r="E23" s="69">
        <f t="shared" si="2"/>
        <v>4667338.5011502877</v>
      </c>
      <c r="H23" s="68">
        <v>9</v>
      </c>
      <c r="I23" s="73">
        <f t="shared" si="8"/>
        <v>35088.763869785347</v>
      </c>
      <c r="J23" s="73">
        <f t="shared" si="9"/>
        <v>11244.679314676696</v>
      </c>
      <c r="K23" s="73">
        <f t="shared" si="3"/>
        <v>23844.084555108653</v>
      </c>
      <c r="L23" s="69">
        <f t="shared" si="4"/>
        <v>6722963.5042509083</v>
      </c>
      <c r="N23" s="68">
        <v>9</v>
      </c>
      <c r="O23" s="73">
        <f t="shared" si="10"/>
        <v>74431.958918943608</v>
      </c>
      <c r="P23" s="73">
        <f t="shared" si="11"/>
        <v>17003.886724481432</v>
      </c>
      <c r="Q23" s="73">
        <f t="shared" si="5"/>
        <v>57428.072194462176</v>
      </c>
      <c r="R23" s="69">
        <f t="shared" si="6"/>
        <v>3343349.2727018241</v>
      </c>
    </row>
    <row r="24" spans="1:18" ht="14.25" customHeight="1" x14ac:dyDescent="0.2">
      <c r="A24" s="68">
        <v>10</v>
      </c>
      <c r="B24" s="73">
        <f t="shared" si="0"/>
        <v>24359.962457578171</v>
      </c>
      <c r="C24" s="73">
        <f t="shared" si="7"/>
        <v>7778.8975019171467</v>
      </c>
      <c r="D24" s="73">
        <f t="shared" si="1"/>
        <v>16581.064955661022</v>
      </c>
      <c r="E24" s="69">
        <f t="shared" si="2"/>
        <v>4650757.4361946266</v>
      </c>
      <c r="H24" s="68">
        <v>10</v>
      </c>
      <c r="I24" s="73">
        <f t="shared" si="8"/>
        <v>35088.763869785347</v>
      </c>
      <c r="J24" s="73">
        <f t="shared" si="9"/>
        <v>11204.939173751514</v>
      </c>
      <c r="K24" s="73">
        <f t="shared" si="3"/>
        <v>23883.824696033833</v>
      </c>
      <c r="L24" s="69">
        <f t="shared" si="4"/>
        <v>6699079.6795548741</v>
      </c>
      <c r="N24" s="68">
        <v>10</v>
      </c>
      <c r="O24" s="73">
        <f t="shared" si="10"/>
        <v>74431.958918943608</v>
      </c>
      <c r="P24" s="73">
        <f t="shared" si="11"/>
        <v>16716.746363509119</v>
      </c>
      <c r="Q24" s="73">
        <f t="shared" si="5"/>
        <v>57715.212555434489</v>
      </c>
      <c r="R24" s="69">
        <f t="shared" si="6"/>
        <v>3285634.0601463895</v>
      </c>
    </row>
    <row r="25" spans="1:18" ht="14.25" customHeight="1" x14ac:dyDescent="0.2">
      <c r="A25" s="68">
        <v>11</v>
      </c>
      <c r="B25" s="73">
        <f t="shared" si="0"/>
        <v>24359.962457578171</v>
      </c>
      <c r="C25" s="73">
        <f t="shared" si="7"/>
        <v>7751.2623936577111</v>
      </c>
      <c r="D25" s="73">
        <f t="shared" si="1"/>
        <v>16608.70006392046</v>
      </c>
      <c r="E25" s="69">
        <f t="shared" si="2"/>
        <v>4634148.736130706</v>
      </c>
      <c r="H25" s="68">
        <v>11</v>
      </c>
      <c r="I25" s="73">
        <f t="shared" si="8"/>
        <v>35088.763869785347</v>
      </c>
      <c r="J25" s="73">
        <f t="shared" si="9"/>
        <v>11165.132799258125</v>
      </c>
      <c r="K25" s="73">
        <f t="shared" si="3"/>
        <v>23923.631070527223</v>
      </c>
      <c r="L25" s="69">
        <f t="shared" si="4"/>
        <v>6675156.0484843468</v>
      </c>
      <c r="N25" s="68">
        <v>11</v>
      </c>
      <c r="O25" s="73">
        <f t="shared" si="10"/>
        <v>74431.958918943608</v>
      </c>
      <c r="P25" s="73">
        <f t="shared" si="11"/>
        <v>16428.170300731948</v>
      </c>
      <c r="Q25" s="73">
        <f t="shared" si="5"/>
        <v>58003.788618211664</v>
      </c>
      <c r="R25" s="69">
        <f t="shared" si="6"/>
        <v>3227630.2715281779</v>
      </c>
    </row>
    <row r="26" spans="1:18" ht="14.25" customHeight="1" x14ac:dyDescent="0.2">
      <c r="A26" s="68">
        <v>12</v>
      </c>
      <c r="B26" s="73">
        <f t="shared" si="0"/>
        <v>24359.962457578171</v>
      </c>
      <c r="C26" s="73">
        <f t="shared" si="7"/>
        <v>7723.5812268845102</v>
      </c>
      <c r="D26" s="73">
        <f t="shared" si="1"/>
        <v>16636.38123069366</v>
      </c>
      <c r="E26" s="69">
        <f t="shared" si="2"/>
        <v>4617512.3549000127</v>
      </c>
      <c r="H26" s="68">
        <v>12</v>
      </c>
      <c r="I26" s="73">
        <f t="shared" si="8"/>
        <v>35088.763869785347</v>
      </c>
      <c r="J26" s="73">
        <f t="shared" si="9"/>
        <v>11125.260080807246</v>
      </c>
      <c r="K26" s="73">
        <f t="shared" si="3"/>
        <v>23963.503788978102</v>
      </c>
      <c r="L26" s="69">
        <f t="shared" si="4"/>
        <v>6651192.544695369</v>
      </c>
      <c r="N26" s="68">
        <v>12</v>
      </c>
      <c r="O26" s="73">
        <f t="shared" si="10"/>
        <v>74431.958918943608</v>
      </c>
      <c r="P26" s="73">
        <f t="shared" si="11"/>
        <v>16138.151357640891</v>
      </c>
      <c r="Q26" s="73">
        <f t="shared" si="5"/>
        <v>58293.807561302718</v>
      </c>
      <c r="R26" s="69">
        <f t="shared" si="6"/>
        <v>3169336.4639668753</v>
      </c>
    </row>
    <row r="27" spans="1:18" ht="14.25" customHeight="1" x14ac:dyDescent="0.2">
      <c r="A27" s="68">
        <v>13</v>
      </c>
      <c r="B27" s="73">
        <f t="shared" si="0"/>
        <v>24359.962457578171</v>
      </c>
      <c r="C27" s="73">
        <f t="shared" si="7"/>
        <v>7695.8539248333554</v>
      </c>
      <c r="D27" s="73">
        <f t="shared" si="1"/>
        <v>16664.108532744816</v>
      </c>
      <c r="E27" s="69">
        <f t="shared" si="2"/>
        <v>4600848.2463672683</v>
      </c>
      <c r="H27" s="68">
        <v>13</v>
      </c>
      <c r="I27" s="73">
        <f t="shared" si="8"/>
        <v>35088.763869785347</v>
      </c>
      <c r="J27" s="73">
        <f t="shared" si="9"/>
        <v>11085.320907825615</v>
      </c>
      <c r="K27" s="73">
        <f t="shared" si="3"/>
        <v>24003.442961959732</v>
      </c>
      <c r="L27" s="69">
        <f t="shared" si="4"/>
        <v>6627189.1017334089</v>
      </c>
      <c r="N27" s="68">
        <v>13</v>
      </c>
      <c r="O27" s="73">
        <f t="shared" si="10"/>
        <v>74431.958918943608</v>
      </c>
      <c r="P27" s="73">
        <f t="shared" si="11"/>
        <v>15846.682319834377</v>
      </c>
      <c r="Q27" s="73">
        <f t="shared" si="5"/>
        <v>58585.276599109231</v>
      </c>
      <c r="R27" s="69">
        <f t="shared" si="6"/>
        <v>3110751.1873677662</v>
      </c>
    </row>
    <row r="28" spans="1:18" ht="14.25" customHeight="1" x14ac:dyDescent="0.2">
      <c r="A28" s="68">
        <v>14</v>
      </c>
      <c r="B28" s="73">
        <f t="shared" si="0"/>
        <v>24359.962457578171</v>
      </c>
      <c r="C28" s="73">
        <f t="shared" si="7"/>
        <v>7668.0804106121141</v>
      </c>
      <c r="D28" s="73">
        <f t="shared" si="1"/>
        <v>16691.882046966057</v>
      </c>
      <c r="E28" s="69">
        <f t="shared" si="2"/>
        <v>4584156.3643203024</v>
      </c>
      <c r="H28" s="68">
        <v>14</v>
      </c>
      <c r="I28" s="73">
        <f t="shared" si="8"/>
        <v>35088.763869785347</v>
      </c>
      <c r="J28" s="73">
        <f t="shared" si="9"/>
        <v>11045.315169555683</v>
      </c>
      <c r="K28" s="73">
        <f t="shared" si="3"/>
        <v>24043.448700229666</v>
      </c>
      <c r="L28" s="69">
        <f t="shared" si="4"/>
        <v>6603145.6530331792</v>
      </c>
      <c r="N28" s="68">
        <v>14</v>
      </c>
      <c r="O28" s="73">
        <f t="shared" si="10"/>
        <v>74431.958918943608</v>
      </c>
      <c r="P28" s="73">
        <f t="shared" si="11"/>
        <v>15553.755936838832</v>
      </c>
      <c r="Q28" s="73">
        <f t="shared" si="5"/>
        <v>58878.202982104776</v>
      </c>
      <c r="R28" s="69">
        <f t="shared" si="6"/>
        <v>3051872.9843856613</v>
      </c>
    </row>
    <row r="29" spans="1:18" ht="14.25" customHeight="1" x14ac:dyDescent="0.2">
      <c r="A29" s="68">
        <v>15</v>
      </c>
      <c r="B29" s="73">
        <f t="shared" si="0"/>
        <v>24359.962457578171</v>
      </c>
      <c r="C29" s="73">
        <f t="shared" si="7"/>
        <v>7640.2606072005046</v>
      </c>
      <c r="D29" s="73">
        <f t="shared" si="1"/>
        <v>16719.701850377667</v>
      </c>
      <c r="E29" s="69">
        <f t="shared" si="2"/>
        <v>4567436.6624699244</v>
      </c>
      <c r="H29" s="68">
        <v>15</v>
      </c>
      <c r="I29" s="73">
        <f t="shared" si="8"/>
        <v>35088.763869785347</v>
      </c>
      <c r="J29" s="73">
        <f t="shared" si="9"/>
        <v>11005.2427550553</v>
      </c>
      <c r="K29" s="73">
        <f t="shared" si="3"/>
        <v>24083.521114730047</v>
      </c>
      <c r="L29" s="69">
        <f t="shared" si="4"/>
        <v>6579062.131918449</v>
      </c>
      <c r="N29" s="68">
        <v>15</v>
      </c>
      <c r="O29" s="73">
        <f t="shared" si="10"/>
        <v>74431.958918943608</v>
      </c>
      <c r="P29" s="73">
        <f t="shared" si="11"/>
        <v>15259.364921928307</v>
      </c>
      <c r="Q29" s="73">
        <f t="shared" si="5"/>
        <v>59172.593997015298</v>
      </c>
      <c r="R29" s="69">
        <f t="shared" si="6"/>
        <v>2992700.3903886462</v>
      </c>
    </row>
    <row r="30" spans="1:18" ht="14.25" customHeight="1" x14ac:dyDescent="0.2">
      <c r="A30" s="68">
        <v>16</v>
      </c>
      <c r="B30" s="73">
        <f t="shared" si="0"/>
        <v>24359.962457578171</v>
      </c>
      <c r="C30" s="73">
        <f t="shared" si="7"/>
        <v>7612.3944374498742</v>
      </c>
      <c r="D30" s="73">
        <f t="shared" si="1"/>
        <v>16747.568020128296</v>
      </c>
      <c r="E30" s="69">
        <f t="shared" si="2"/>
        <v>4550689.0944497958</v>
      </c>
      <c r="H30" s="68">
        <v>16</v>
      </c>
      <c r="I30" s="73">
        <f t="shared" si="8"/>
        <v>35088.763869785347</v>
      </c>
      <c r="J30" s="73">
        <f t="shared" si="9"/>
        <v>10965.103553197416</v>
      </c>
      <c r="K30" s="73">
        <f t="shared" si="3"/>
        <v>24123.660316587931</v>
      </c>
      <c r="L30" s="69">
        <f t="shared" si="4"/>
        <v>6554938.4716018606</v>
      </c>
      <c r="N30" s="68">
        <v>16</v>
      </c>
      <c r="O30" s="73">
        <f t="shared" si="10"/>
        <v>74431.958918943608</v>
      </c>
      <c r="P30" s="73">
        <f t="shared" si="11"/>
        <v>14963.501951943232</v>
      </c>
      <c r="Q30" s="73">
        <f t="shared" si="5"/>
        <v>59468.456967000377</v>
      </c>
      <c r="R30" s="69">
        <f t="shared" si="6"/>
        <v>2933231.9334216458</v>
      </c>
    </row>
    <row r="31" spans="1:18" ht="14.25" customHeight="1" x14ac:dyDescent="0.2">
      <c r="A31" s="68">
        <v>17</v>
      </c>
      <c r="B31" s="73">
        <f t="shared" si="0"/>
        <v>24359.962457578171</v>
      </c>
      <c r="C31" s="73">
        <f t="shared" si="7"/>
        <v>7584.4818240829936</v>
      </c>
      <c r="D31" s="73">
        <f t="shared" si="1"/>
        <v>16775.480633495179</v>
      </c>
      <c r="E31" s="69">
        <f t="shared" si="2"/>
        <v>4533913.6138163004</v>
      </c>
      <c r="H31" s="68">
        <v>17</v>
      </c>
      <c r="I31" s="73">
        <f t="shared" si="8"/>
        <v>35088.763869785347</v>
      </c>
      <c r="J31" s="73">
        <f t="shared" si="9"/>
        <v>10924.897452669768</v>
      </c>
      <c r="K31" s="73">
        <f t="shared" si="3"/>
        <v>24163.86641711558</v>
      </c>
      <c r="L31" s="69">
        <f t="shared" si="4"/>
        <v>6530774.605184745</v>
      </c>
      <c r="N31" s="68">
        <v>17</v>
      </c>
      <c r="O31" s="73">
        <f t="shared" si="10"/>
        <v>74431.958918943608</v>
      </c>
      <c r="P31" s="73">
        <f t="shared" si="11"/>
        <v>14666.15966710823</v>
      </c>
      <c r="Q31" s="73">
        <f t="shared" si="5"/>
        <v>59765.799251835379</v>
      </c>
      <c r="R31" s="69">
        <f t="shared" si="6"/>
        <v>2873466.1341698105</v>
      </c>
    </row>
    <row r="32" spans="1:18" ht="14.25" customHeight="1" x14ac:dyDescent="0.2">
      <c r="A32" s="68">
        <v>18</v>
      </c>
      <c r="B32" s="73">
        <f t="shared" si="0"/>
        <v>24359.962457578171</v>
      </c>
      <c r="C32" s="73">
        <f t="shared" si="7"/>
        <v>7556.5226896938348</v>
      </c>
      <c r="D32" s="73">
        <f t="shared" si="1"/>
        <v>16803.439767884338</v>
      </c>
      <c r="E32" s="69">
        <f t="shared" si="2"/>
        <v>4517110.1740484163</v>
      </c>
      <c r="H32" s="68">
        <v>18</v>
      </c>
      <c r="I32" s="73">
        <f t="shared" si="8"/>
        <v>35088.763869785347</v>
      </c>
      <c r="J32" s="73">
        <f t="shared" si="9"/>
        <v>10884.624341974575</v>
      </c>
      <c r="K32" s="73">
        <f t="shared" si="3"/>
        <v>24204.139527810774</v>
      </c>
      <c r="L32" s="69">
        <f t="shared" si="4"/>
        <v>6506570.4656569343</v>
      </c>
      <c r="N32" s="68">
        <v>18</v>
      </c>
      <c r="O32" s="73">
        <f t="shared" si="10"/>
        <v>74431.958918943608</v>
      </c>
      <c r="P32" s="73">
        <f t="shared" si="11"/>
        <v>14367.330670849053</v>
      </c>
      <c r="Q32" s="73">
        <f t="shared" si="5"/>
        <v>60064.628248094552</v>
      </c>
      <c r="R32" s="69">
        <f t="shared" si="6"/>
        <v>2813401.5059217159</v>
      </c>
    </row>
    <row r="33" spans="1:18" ht="14.25" customHeight="1" x14ac:dyDescent="0.2">
      <c r="A33" s="68">
        <v>19</v>
      </c>
      <c r="B33" s="73">
        <f t="shared" si="0"/>
        <v>24359.962457578171</v>
      </c>
      <c r="C33" s="73">
        <f t="shared" si="7"/>
        <v>7528.5169567473613</v>
      </c>
      <c r="D33" s="73">
        <f t="shared" si="1"/>
        <v>16831.44550083081</v>
      </c>
      <c r="E33" s="69">
        <f t="shared" si="2"/>
        <v>4500278.7285475852</v>
      </c>
      <c r="H33" s="68">
        <v>19</v>
      </c>
      <c r="I33" s="73">
        <f t="shared" si="8"/>
        <v>35088.763869785347</v>
      </c>
      <c r="J33" s="73">
        <f t="shared" si="9"/>
        <v>10844.284109428225</v>
      </c>
      <c r="K33" s="73">
        <f t="shared" si="3"/>
        <v>24244.479760357121</v>
      </c>
      <c r="L33" s="69">
        <f t="shared" si="4"/>
        <v>6482325.9858965771</v>
      </c>
      <c r="N33" s="68">
        <v>19</v>
      </c>
      <c r="O33" s="73">
        <f t="shared" si="10"/>
        <v>74431.958918943608</v>
      </c>
      <c r="P33" s="73">
        <f t="shared" si="11"/>
        <v>14067.00752960858</v>
      </c>
      <c r="Q33" s="73">
        <f t="shared" si="5"/>
        <v>60364.95138933503</v>
      </c>
      <c r="R33" s="69">
        <f t="shared" si="6"/>
        <v>2753036.5545323808</v>
      </c>
    </row>
    <row r="34" spans="1:18" ht="14.25" customHeight="1" x14ac:dyDescent="0.2">
      <c r="A34" s="68">
        <v>20</v>
      </c>
      <c r="B34" s="73">
        <f t="shared" si="0"/>
        <v>24359.962457578171</v>
      </c>
      <c r="C34" s="73">
        <f t="shared" si="7"/>
        <v>7500.4645475793095</v>
      </c>
      <c r="D34" s="73">
        <f t="shared" si="1"/>
        <v>16859.497909998863</v>
      </c>
      <c r="E34" s="69">
        <f t="shared" si="2"/>
        <v>4483419.2306375867</v>
      </c>
      <c r="H34" s="68">
        <v>20</v>
      </c>
      <c r="I34" s="73">
        <f t="shared" si="8"/>
        <v>35088.763869785347</v>
      </c>
      <c r="J34" s="73">
        <f t="shared" si="9"/>
        <v>10803.876643160962</v>
      </c>
      <c r="K34" s="73">
        <f t="shared" si="3"/>
        <v>24284.887226624385</v>
      </c>
      <c r="L34" s="69">
        <f t="shared" si="4"/>
        <v>6458041.0986699527</v>
      </c>
      <c r="N34" s="68">
        <v>20</v>
      </c>
      <c r="O34" s="73">
        <f t="shared" si="10"/>
        <v>74431.958918943608</v>
      </c>
      <c r="P34" s="73">
        <f t="shared" si="11"/>
        <v>13765.182772661905</v>
      </c>
      <c r="Q34" s="73">
        <f t="shared" si="5"/>
        <v>60666.7761462817</v>
      </c>
      <c r="R34" s="69">
        <f t="shared" si="6"/>
        <v>2692369.7783860993</v>
      </c>
    </row>
    <row r="35" spans="1:18" ht="14.25" customHeight="1" x14ac:dyDescent="0.2">
      <c r="A35" s="68">
        <v>21</v>
      </c>
      <c r="B35" s="73">
        <f t="shared" si="0"/>
        <v>24359.962457578171</v>
      </c>
      <c r="C35" s="73">
        <f t="shared" si="7"/>
        <v>7472.3653843959783</v>
      </c>
      <c r="D35" s="73">
        <f t="shared" si="1"/>
        <v>16887.597073182194</v>
      </c>
      <c r="E35" s="69">
        <f t="shared" si="2"/>
        <v>4466531.6335644042</v>
      </c>
      <c r="H35" s="68">
        <v>21</v>
      </c>
      <c r="I35" s="73">
        <f t="shared" si="8"/>
        <v>35088.763869785347</v>
      </c>
      <c r="J35" s="73">
        <f t="shared" si="9"/>
        <v>10763.401831116589</v>
      </c>
      <c r="K35" s="73">
        <f t="shared" si="3"/>
        <v>24325.362038668758</v>
      </c>
      <c r="L35" s="69">
        <f t="shared" si="4"/>
        <v>6433715.7366312835</v>
      </c>
      <c r="N35" s="68">
        <v>21</v>
      </c>
      <c r="O35" s="73">
        <f t="shared" si="10"/>
        <v>74431.958918943608</v>
      </c>
      <c r="P35" s="73">
        <f t="shared" si="11"/>
        <v>13461.848891930496</v>
      </c>
      <c r="Q35" s="73">
        <f t="shared" si="5"/>
        <v>60970.110027013114</v>
      </c>
      <c r="R35" s="69">
        <f t="shared" si="6"/>
        <v>2631399.6683590859</v>
      </c>
    </row>
    <row r="36" spans="1:18" ht="14.25" customHeight="1" x14ac:dyDescent="0.2">
      <c r="A36" s="68">
        <v>22</v>
      </c>
      <c r="B36" s="73">
        <f t="shared" si="0"/>
        <v>24359.962457578171</v>
      </c>
      <c r="C36" s="73">
        <f t="shared" si="7"/>
        <v>7444.2193892740079</v>
      </c>
      <c r="D36" s="73">
        <f t="shared" si="1"/>
        <v>16915.743068304164</v>
      </c>
      <c r="E36" s="69">
        <f t="shared" si="2"/>
        <v>4449615.8904961003</v>
      </c>
      <c r="H36" s="68">
        <v>22</v>
      </c>
      <c r="I36" s="73">
        <f t="shared" si="8"/>
        <v>35088.763869785347</v>
      </c>
      <c r="J36" s="73">
        <f t="shared" si="9"/>
        <v>10722.859561052141</v>
      </c>
      <c r="K36" s="73">
        <f t="shared" si="3"/>
        <v>24365.904308733207</v>
      </c>
      <c r="L36" s="69">
        <f t="shared" si="4"/>
        <v>6409349.83232255</v>
      </c>
      <c r="N36" s="68">
        <v>22</v>
      </c>
      <c r="O36" s="73">
        <f t="shared" si="10"/>
        <v>74431.958918943608</v>
      </c>
      <c r="P36" s="73">
        <f t="shared" si="11"/>
        <v>13156.99834179543</v>
      </c>
      <c r="Q36" s="73">
        <f t="shared" si="5"/>
        <v>61274.96057714818</v>
      </c>
      <c r="R36" s="69">
        <f t="shared" si="6"/>
        <v>2570124.7077819379</v>
      </c>
    </row>
    <row r="37" spans="1:18" ht="14.25" customHeight="1" x14ac:dyDescent="0.2">
      <c r="A37" s="68">
        <v>23</v>
      </c>
      <c r="B37" s="73">
        <f t="shared" si="0"/>
        <v>24359.962457578171</v>
      </c>
      <c r="C37" s="73">
        <f t="shared" si="7"/>
        <v>7416.0264841601675</v>
      </c>
      <c r="D37" s="73">
        <f t="shared" si="1"/>
        <v>16943.935973418003</v>
      </c>
      <c r="E37" s="69">
        <f t="shared" si="2"/>
        <v>4432671.9545226824</v>
      </c>
      <c r="H37" s="68">
        <v>23</v>
      </c>
      <c r="I37" s="73">
        <f t="shared" si="8"/>
        <v>35088.763869785347</v>
      </c>
      <c r="J37" s="73">
        <f t="shared" si="9"/>
        <v>10682.249720537584</v>
      </c>
      <c r="K37" s="73">
        <f t="shared" si="3"/>
        <v>24406.514149247763</v>
      </c>
      <c r="L37" s="69">
        <f t="shared" si="4"/>
        <v>6384943.3181733023</v>
      </c>
      <c r="N37" s="68">
        <v>23</v>
      </c>
      <c r="O37" s="73">
        <f t="shared" si="10"/>
        <v>74431.958918943608</v>
      </c>
      <c r="P37" s="73">
        <f t="shared" si="11"/>
        <v>12850.623538909689</v>
      </c>
      <c r="Q37" s="73">
        <f t="shared" si="5"/>
        <v>61581.335380033917</v>
      </c>
      <c r="R37" s="69">
        <f t="shared" si="6"/>
        <v>2508543.3724019038</v>
      </c>
    </row>
    <row r="38" spans="1:18" ht="14.25" customHeight="1" x14ac:dyDescent="0.2">
      <c r="A38" s="68">
        <v>24</v>
      </c>
      <c r="B38" s="73">
        <f t="shared" si="0"/>
        <v>24359.962457578171</v>
      </c>
      <c r="C38" s="73">
        <f t="shared" si="7"/>
        <v>7387.7865908711374</v>
      </c>
      <c r="D38" s="73">
        <f t="shared" si="1"/>
        <v>16972.175866707032</v>
      </c>
      <c r="E38" s="69">
        <f t="shared" si="2"/>
        <v>4415699.7786559751</v>
      </c>
      <c r="H38" s="68">
        <v>24</v>
      </c>
      <c r="I38" s="73">
        <f t="shared" si="8"/>
        <v>35088.763869785347</v>
      </c>
      <c r="J38" s="73">
        <f t="shared" si="9"/>
        <v>10641.572196955505</v>
      </c>
      <c r="K38" s="73">
        <f t="shared" si="3"/>
        <v>24447.191672829842</v>
      </c>
      <c r="L38" s="69">
        <f t="shared" si="4"/>
        <v>6360496.1265004724</v>
      </c>
      <c r="N38" s="68">
        <v>24</v>
      </c>
      <c r="O38" s="73">
        <f t="shared" si="10"/>
        <v>74431.958918943608</v>
      </c>
      <c r="P38" s="73">
        <f t="shared" si="11"/>
        <v>12542.71686200952</v>
      </c>
      <c r="Q38" s="73">
        <f t="shared" si="5"/>
        <v>61889.24205693409</v>
      </c>
      <c r="R38" s="69">
        <f t="shared" si="6"/>
        <v>2446654.1303449697</v>
      </c>
    </row>
    <row r="39" spans="1:18" ht="14.25" customHeight="1" x14ac:dyDescent="0.2">
      <c r="A39" s="68">
        <v>25</v>
      </c>
      <c r="B39" s="73">
        <f t="shared" si="0"/>
        <v>24359.962457578171</v>
      </c>
      <c r="C39" s="73">
        <f t="shared" si="7"/>
        <v>7359.499631093292</v>
      </c>
      <c r="D39" s="73">
        <f t="shared" si="1"/>
        <v>17000.46282648488</v>
      </c>
      <c r="E39" s="69">
        <f t="shared" si="2"/>
        <v>4398699.3158294903</v>
      </c>
      <c r="H39" s="68">
        <v>25</v>
      </c>
      <c r="I39" s="73">
        <f t="shared" si="8"/>
        <v>35088.763869785347</v>
      </c>
      <c r="J39" s="73">
        <f t="shared" si="9"/>
        <v>10600.826877500787</v>
      </c>
      <c r="K39" s="73">
        <f t="shared" si="3"/>
        <v>24487.936992284558</v>
      </c>
      <c r="L39" s="69">
        <f t="shared" si="4"/>
        <v>6336008.1895081876</v>
      </c>
      <c r="N39" s="68">
        <v>25</v>
      </c>
      <c r="O39" s="73">
        <f t="shared" si="10"/>
        <v>74431.958918943608</v>
      </c>
      <c r="P39" s="73">
        <f t="shared" si="11"/>
        <v>12233.270651724848</v>
      </c>
      <c r="Q39" s="73">
        <f t="shared" si="5"/>
        <v>62198.688267218764</v>
      </c>
      <c r="R39" s="69">
        <f t="shared" si="6"/>
        <v>2384455.4420777508</v>
      </c>
    </row>
    <row r="40" spans="1:18" ht="14.25" customHeight="1" x14ac:dyDescent="0.2">
      <c r="A40" s="68">
        <v>26</v>
      </c>
      <c r="B40" s="73">
        <f t="shared" si="0"/>
        <v>24359.962457578171</v>
      </c>
      <c r="C40" s="73">
        <f t="shared" si="7"/>
        <v>7331.1655263824841</v>
      </c>
      <c r="D40" s="73">
        <f t="shared" si="1"/>
        <v>17028.796931195688</v>
      </c>
      <c r="E40" s="69">
        <f t="shared" si="2"/>
        <v>4381670.5188982943</v>
      </c>
      <c r="H40" s="68">
        <v>26</v>
      </c>
      <c r="I40" s="73">
        <f t="shared" si="8"/>
        <v>35088.763869785347</v>
      </c>
      <c r="J40" s="73">
        <f t="shared" si="9"/>
        <v>10560.013649180313</v>
      </c>
      <c r="K40" s="73">
        <f t="shared" si="3"/>
        <v>24528.750220605034</v>
      </c>
      <c r="L40" s="69">
        <f t="shared" si="4"/>
        <v>6311479.4392875824</v>
      </c>
      <c r="N40" s="68">
        <v>26</v>
      </c>
      <c r="O40" s="73">
        <f t="shared" si="10"/>
        <v>74431.958918943608</v>
      </c>
      <c r="P40" s="73">
        <f t="shared" si="11"/>
        <v>11922.277210388755</v>
      </c>
      <c r="Q40" s="73">
        <f t="shared" si="5"/>
        <v>62509.681708554854</v>
      </c>
      <c r="R40" s="69">
        <f t="shared" si="6"/>
        <v>2321945.7603691961</v>
      </c>
    </row>
    <row r="41" spans="1:18" ht="14.25" customHeight="1" x14ac:dyDescent="0.2">
      <c r="A41" s="68">
        <v>27</v>
      </c>
      <c r="B41" s="73">
        <f t="shared" si="0"/>
        <v>24359.962457578171</v>
      </c>
      <c r="C41" s="73">
        <f t="shared" si="7"/>
        <v>7302.7841981638239</v>
      </c>
      <c r="D41" s="73">
        <f t="shared" si="1"/>
        <v>17057.178259414348</v>
      </c>
      <c r="E41" s="69">
        <f t="shared" si="2"/>
        <v>4364613.3406388797</v>
      </c>
      <c r="H41" s="68">
        <v>27</v>
      </c>
      <c r="I41" s="73">
        <f t="shared" si="8"/>
        <v>35088.763869785347</v>
      </c>
      <c r="J41" s="73">
        <f t="shared" si="9"/>
        <v>10519.132398812639</v>
      </c>
      <c r="K41" s="73">
        <f t="shared" si="3"/>
        <v>24569.631470972708</v>
      </c>
      <c r="L41" s="69">
        <f t="shared" si="4"/>
        <v>6286909.8078166097</v>
      </c>
      <c r="N41" s="68">
        <v>27</v>
      </c>
      <c r="O41" s="73">
        <f t="shared" si="10"/>
        <v>74431.958918943608</v>
      </c>
      <c r="P41" s="73">
        <f t="shared" si="11"/>
        <v>11609.72880184598</v>
      </c>
      <c r="Q41" s="73">
        <f t="shared" si="5"/>
        <v>62822.230117097628</v>
      </c>
      <c r="R41" s="69">
        <f t="shared" si="6"/>
        <v>2259123.5302520986</v>
      </c>
    </row>
    <row r="42" spans="1:18" ht="14.25" customHeight="1" x14ac:dyDescent="0.2">
      <c r="A42" s="68">
        <v>28</v>
      </c>
      <c r="B42" s="73">
        <f t="shared" si="0"/>
        <v>24359.962457578171</v>
      </c>
      <c r="C42" s="73">
        <f t="shared" si="7"/>
        <v>7274.3555677314662</v>
      </c>
      <c r="D42" s="73">
        <f t="shared" si="1"/>
        <v>17085.606889846706</v>
      </c>
      <c r="E42" s="69">
        <f t="shared" si="2"/>
        <v>4347527.733749033</v>
      </c>
      <c r="H42" s="68">
        <v>28</v>
      </c>
      <c r="I42" s="73">
        <f t="shared" si="8"/>
        <v>35088.763869785347</v>
      </c>
      <c r="J42" s="73">
        <f t="shared" si="9"/>
        <v>10478.183013027683</v>
      </c>
      <c r="K42" s="73">
        <f t="shared" si="3"/>
        <v>24610.580856757664</v>
      </c>
      <c r="L42" s="69">
        <f t="shared" si="4"/>
        <v>6262299.2269598525</v>
      </c>
      <c r="N42" s="68">
        <v>28</v>
      </c>
      <c r="O42" s="73">
        <f t="shared" si="10"/>
        <v>74431.958918943608</v>
      </c>
      <c r="P42" s="73">
        <f t="shared" si="11"/>
        <v>11295.617651260492</v>
      </c>
      <c r="Q42" s="73">
        <f t="shared" si="5"/>
        <v>63136.341267683114</v>
      </c>
      <c r="R42" s="69">
        <f t="shared" si="6"/>
        <v>2195987.1889844155</v>
      </c>
    </row>
    <row r="43" spans="1:18" ht="14.25" customHeight="1" x14ac:dyDescent="0.2">
      <c r="A43" s="68">
        <v>29</v>
      </c>
      <c r="B43" s="73">
        <f t="shared" si="0"/>
        <v>24359.962457578171</v>
      </c>
      <c r="C43" s="73">
        <f t="shared" si="7"/>
        <v>7245.8795562483883</v>
      </c>
      <c r="D43" s="73">
        <f t="shared" si="1"/>
        <v>17114.082901329784</v>
      </c>
      <c r="E43" s="69">
        <f t="shared" si="2"/>
        <v>4330413.6508477032</v>
      </c>
      <c r="H43" s="68">
        <v>29</v>
      </c>
      <c r="I43" s="73">
        <f t="shared" si="8"/>
        <v>35088.763869785347</v>
      </c>
      <c r="J43" s="73">
        <f t="shared" si="9"/>
        <v>10437.165378266422</v>
      </c>
      <c r="K43" s="73">
        <f t="shared" si="3"/>
        <v>24651.598491518926</v>
      </c>
      <c r="L43" s="69">
        <f t="shared" si="4"/>
        <v>6237647.6284683337</v>
      </c>
      <c r="N43" s="68">
        <v>29</v>
      </c>
      <c r="O43" s="73">
        <f t="shared" si="10"/>
        <v>74431.958918943608</v>
      </c>
      <c r="P43" s="73">
        <f t="shared" si="11"/>
        <v>10979.935944922077</v>
      </c>
      <c r="Q43" s="73">
        <f t="shared" si="5"/>
        <v>63452.022974021529</v>
      </c>
      <c r="R43" s="69">
        <f t="shared" si="6"/>
        <v>2132535.1660103938</v>
      </c>
    </row>
    <row r="44" spans="1:18" ht="14.25" customHeight="1" x14ac:dyDescent="0.2">
      <c r="A44" s="68">
        <v>30</v>
      </c>
      <c r="B44" s="73">
        <f t="shared" si="0"/>
        <v>24359.962457578171</v>
      </c>
      <c r="C44" s="73">
        <f t="shared" si="7"/>
        <v>7217.3560847461722</v>
      </c>
      <c r="D44" s="73">
        <f t="shared" si="1"/>
        <v>17142.606372832</v>
      </c>
      <c r="E44" s="69">
        <f t="shared" si="2"/>
        <v>4313271.0444748709</v>
      </c>
      <c r="H44" s="68">
        <v>30</v>
      </c>
      <c r="I44" s="73">
        <f t="shared" si="8"/>
        <v>35088.763869785347</v>
      </c>
      <c r="J44" s="73">
        <f t="shared" si="9"/>
        <v>10396.079380780557</v>
      </c>
      <c r="K44" s="73">
        <f t="shared" si="3"/>
        <v>24692.684489004791</v>
      </c>
      <c r="L44" s="69">
        <f t="shared" si="4"/>
        <v>6212954.9439793285</v>
      </c>
      <c r="N44" s="68">
        <v>30</v>
      </c>
      <c r="O44" s="73">
        <f t="shared" si="10"/>
        <v>74431.958918943608</v>
      </c>
      <c r="P44" s="73">
        <f t="shared" si="11"/>
        <v>10662.675830051969</v>
      </c>
      <c r="Q44" s="73">
        <f t="shared" si="5"/>
        <v>63769.283088891636</v>
      </c>
      <c r="R44" s="69">
        <f t="shared" si="6"/>
        <v>2068765.8829215022</v>
      </c>
    </row>
    <row r="45" spans="1:18" ht="14.25" customHeight="1" x14ac:dyDescent="0.2">
      <c r="A45" s="68">
        <v>31</v>
      </c>
      <c r="B45" s="73">
        <f t="shared" si="0"/>
        <v>24359.962457578171</v>
      </c>
      <c r="C45" s="73">
        <f t="shared" si="7"/>
        <v>7188.7850741247848</v>
      </c>
      <c r="D45" s="73">
        <f t="shared" si="1"/>
        <v>17171.177383453385</v>
      </c>
      <c r="E45" s="69">
        <f t="shared" si="2"/>
        <v>4296099.8670914173</v>
      </c>
      <c r="H45" s="68">
        <v>31</v>
      </c>
      <c r="I45" s="73">
        <f t="shared" si="8"/>
        <v>35088.763869785347</v>
      </c>
      <c r="J45" s="73">
        <f t="shared" si="9"/>
        <v>10354.924906632215</v>
      </c>
      <c r="K45" s="73">
        <f t="shared" si="3"/>
        <v>24733.838963153132</v>
      </c>
      <c r="L45" s="69">
        <f t="shared" si="4"/>
        <v>6188221.1050161757</v>
      </c>
      <c r="N45" s="68">
        <v>31</v>
      </c>
      <c r="O45" s="73">
        <f t="shared" si="10"/>
        <v>74431.958918943608</v>
      </c>
      <c r="P45" s="73">
        <f t="shared" si="11"/>
        <v>10343.829414607511</v>
      </c>
      <c r="Q45" s="73">
        <f t="shared" si="5"/>
        <v>64088.129504336095</v>
      </c>
      <c r="R45" s="69">
        <f t="shared" si="6"/>
        <v>2004677.7534171662</v>
      </c>
    </row>
    <row r="46" spans="1:18" ht="14.25" customHeight="1" x14ac:dyDescent="0.2">
      <c r="A46" s="68">
        <v>32</v>
      </c>
      <c r="B46" s="73">
        <f t="shared" si="0"/>
        <v>24359.962457578171</v>
      </c>
      <c r="C46" s="73">
        <f t="shared" si="7"/>
        <v>7160.1664451523629</v>
      </c>
      <c r="D46" s="73">
        <f t="shared" si="1"/>
        <v>17199.79601242581</v>
      </c>
      <c r="E46" s="69">
        <f t="shared" si="2"/>
        <v>4278900.0710789915</v>
      </c>
      <c r="H46" s="68">
        <v>32</v>
      </c>
      <c r="I46" s="73">
        <f t="shared" si="8"/>
        <v>35088.763869785347</v>
      </c>
      <c r="J46" s="73">
        <f t="shared" si="9"/>
        <v>10313.701841693626</v>
      </c>
      <c r="K46" s="73">
        <f t="shared" si="3"/>
        <v>24775.062028091721</v>
      </c>
      <c r="L46" s="69">
        <f t="shared" si="4"/>
        <v>6163446.0429880843</v>
      </c>
      <c r="N46" s="68">
        <v>32</v>
      </c>
      <c r="O46" s="73">
        <f t="shared" si="10"/>
        <v>74431.958918943608</v>
      </c>
      <c r="P46" s="73">
        <f t="shared" si="11"/>
        <v>10023.388767085831</v>
      </c>
      <c r="Q46" s="73">
        <f t="shared" si="5"/>
        <v>64408.570151857777</v>
      </c>
      <c r="R46" s="69">
        <f t="shared" si="6"/>
        <v>1940269.1832653084</v>
      </c>
    </row>
    <row r="47" spans="1:18" ht="14.25" customHeight="1" x14ac:dyDescent="0.2">
      <c r="A47" s="68">
        <v>33</v>
      </c>
      <c r="B47" s="73">
        <f t="shared" si="0"/>
        <v>24359.962457578171</v>
      </c>
      <c r="C47" s="73">
        <f t="shared" si="7"/>
        <v>7131.5001184649864</v>
      </c>
      <c r="D47" s="73">
        <f t="shared" si="1"/>
        <v>17228.462339113183</v>
      </c>
      <c r="E47" s="69">
        <f t="shared" si="2"/>
        <v>4261671.6087398781</v>
      </c>
      <c r="H47" s="68">
        <v>33</v>
      </c>
      <c r="I47" s="73">
        <f t="shared" si="8"/>
        <v>35088.763869785347</v>
      </c>
      <c r="J47" s="73">
        <f t="shared" si="9"/>
        <v>10272.410071646807</v>
      </c>
      <c r="K47" s="73">
        <f t="shared" si="3"/>
        <v>24816.353798138538</v>
      </c>
      <c r="L47" s="69">
        <f t="shared" si="4"/>
        <v>6138629.6891899453</v>
      </c>
      <c r="N47" s="68">
        <v>33</v>
      </c>
      <c r="O47" s="73">
        <f t="shared" si="10"/>
        <v>74431.958918943608</v>
      </c>
      <c r="P47" s="73">
        <f t="shared" si="11"/>
        <v>9701.3459163265416</v>
      </c>
      <c r="Q47" s="73">
        <f t="shared" si="5"/>
        <v>64730.613002617065</v>
      </c>
      <c r="R47" s="69">
        <f t="shared" si="6"/>
        <v>1875538.5702626912</v>
      </c>
    </row>
    <row r="48" spans="1:18" ht="14.25" customHeight="1" x14ac:dyDescent="0.2">
      <c r="A48" s="68">
        <v>34</v>
      </c>
      <c r="B48" s="73">
        <f t="shared" si="0"/>
        <v>24359.962457578171</v>
      </c>
      <c r="C48" s="73">
        <f t="shared" si="7"/>
        <v>7102.7860145664636</v>
      </c>
      <c r="D48" s="73">
        <f t="shared" si="1"/>
        <v>17257.176443011707</v>
      </c>
      <c r="E48" s="69">
        <f t="shared" si="2"/>
        <v>4244414.4322968666</v>
      </c>
      <c r="H48" s="68">
        <v>34</v>
      </c>
      <c r="I48" s="73">
        <f t="shared" si="8"/>
        <v>35088.763869785347</v>
      </c>
      <c r="J48" s="73">
        <f t="shared" si="9"/>
        <v>10231.049481983242</v>
      </c>
      <c r="K48" s="73">
        <f t="shared" si="3"/>
        <v>24857.714387802105</v>
      </c>
      <c r="L48" s="69">
        <f t="shared" si="4"/>
        <v>6113771.9748021429</v>
      </c>
      <c r="N48" s="68">
        <v>34</v>
      </c>
      <c r="O48" s="73">
        <f t="shared" si="10"/>
        <v>74431.958918943608</v>
      </c>
      <c r="P48" s="73">
        <f t="shared" si="11"/>
        <v>9377.6928513134571</v>
      </c>
      <c r="Q48" s="73">
        <f t="shared" si="5"/>
        <v>65054.266067630153</v>
      </c>
      <c r="R48" s="69">
        <f t="shared" si="6"/>
        <v>1810484.3041950611</v>
      </c>
    </row>
    <row r="49" spans="1:18" ht="14.25" customHeight="1" x14ac:dyDescent="0.2">
      <c r="A49" s="68">
        <v>35</v>
      </c>
      <c r="B49" s="73">
        <f t="shared" si="0"/>
        <v>24359.962457578171</v>
      </c>
      <c r="C49" s="73">
        <f t="shared" si="7"/>
        <v>7074.0240538281114</v>
      </c>
      <c r="D49" s="73">
        <f t="shared" si="1"/>
        <v>17285.93840375006</v>
      </c>
      <c r="E49" s="69">
        <f t="shared" si="2"/>
        <v>4227128.4938931167</v>
      </c>
      <c r="H49" s="68">
        <v>35</v>
      </c>
      <c r="I49" s="73">
        <f t="shared" si="8"/>
        <v>35088.763869785347</v>
      </c>
      <c r="J49" s="73">
        <f t="shared" si="9"/>
        <v>10189.619958003572</v>
      </c>
      <c r="K49" s="73">
        <f t="shared" si="3"/>
        <v>24899.143911781775</v>
      </c>
      <c r="L49" s="69">
        <f t="shared" si="4"/>
        <v>6088872.8308903612</v>
      </c>
      <c r="N49" s="68">
        <v>35</v>
      </c>
      <c r="O49" s="73">
        <f t="shared" si="10"/>
        <v>74431.958918943608</v>
      </c>
      <c r="P49" s="73">
        <f t="shared" si="11"/>
        <v>9052.4215209753056</v>
      </c>
      <c r="Q49" s="73">
        <f t="shared" si="5"/>
        <v>65379.537397968306</v>
      </c>
      <c r="R49" s="69">
        <f t="shared" si="6"/>
        <v>1745104.7667970927</v>
      </c>
    </row>
    <row r="50" spans="1:18" ht="14.25" customHeight="1" x14ac:dyDescent="0.2">
      <c r="A50" s="68">
        <v>36</v>
      </c>
      <c r="B50" s="73">
        <f t="shared" si="0"/>
        <v>24359.962457578171</v>
      </c>
      <c r="C50" s="73">
        <f t="shared" si="7"/>
        <v>7045.2141564885287</v>
      </c>
      <c r="D50" s="73">
        <f t="shared" si="1"/>
        <v>17314.748301089643</v>
      </c>
      <c r="E50" s="69">
        <f t="shared" si="2"/>
        <v>4209813.745592027</v>
      </c>
      <c r="H50" s="68">
        <v>36</v>
      </c>
      <c r="I50" s="73">
        <f t="shared" si="8"/>
        <v>35088.763869785347</v>
      </c>
      <c r="J50" s="73">
        <f t="shared" si="9"/>
        <v>10148.12138481727</v>
      </c>
      <c r="K50" s="73">
        <f t="shared" si="3"/>
        <v>24940.642484968077</v>
      </c>
      <c r="L50" s="69">
        <f t="shared" si="4"/>
        <v>6063932.1884053927</v>
      </c>
      <c r="N50" s="68">
        <v>36</v>
      </c>
      <c r="O50" s="73">
        <f t="shared" si="10"/>
        <v>74431.958918943608</v>
      </c>
      <c r="P50" s="73">
        <f t="shared" si="11"/>
        <v>8725.5238339854641</v>
      </c>
      <c r="Q50" s="73">
        <f t="shared" si="5"/>
        <v>65706.435084958139</v>
      </c>
      <c r="R50" s="69">
        <f t="shared" si="6"/>
        <v>1679398.3317121346</v>
      </c>
    </row>
    <row r="51" spans="1:18" ht="14.25" customHeight="1" x14ac:dyDescent="0.2">
      <c r="A51" s="68">
        <v>37</v>
      </c>
      <c r="B51" s="73">
        <f t="shared" si="0"/>
        <v>24359.962457578171</v>
      </c>
      <c r="C51" s="73">
        <f t="shared" si="7"/>
        <v>7016.356242653379</v>
      </c>
      <c r="D51" s="73">
        <f t="shared" si="1"/>
        <v>17343.606214924792</v>
      </c>
      <c r="E51" s="69">
        <f t="shared" si="2"/>
        <v>4192470.1393771023</v>
      </c>
      <c r="H51" s="68">
        <v>37</v>
      </c>
      <c r="I51" s="73">
        <f t="shared" si="8"/>
        <v>35088.763869785347</v>
      </c>
      <c r="J51" s="73">
        <f t="shared" si="9"/>
        <v>10106.553647342322</v>
      </c>
      <c r="K51" s="73">
        <f t="shared" si="3"/>
        <v>24982.210222443027</v>
      </c>
      <c r="L51" s="69">
        <f t="shared" si="4"/>
        <v>6038949.9781829501</v>
      </c>
      <c r="N51" s="68">
        <v>37</v>
      </c>
      <c r="O51" s="73">
        <f t="shared" si="10"/>
        <v>74431.958918943608</v>
      </c>
      <c r="P51" s="73">
        <f t="shared" si="11"/>
        <v>8396.9916585606734</v>
      </c>
      <c r="Q51" s="73">
        <f t="shared" si="5"/>
        <v>66034.967260382939</v>
      </c>
      <c r="R51" s="69">
        <f t="shared" si="6"/>
        <v>1613363.3644517518</v>
      </c>
    </row>
    <row r="52" spans="1:18" ht="14.25" customHeight="1" x14ac:dyDescent="0.2">
      <c r="A52" s="68">
        <v>38</v>
      </c>
      <c r="B52" s="73">
        <f t="shared" si="0"/>
        <v>24359.962457578171</v>
      </c>
      <c r="C52" s="73">
        <f t="shared" si="7"/>
        <v>6987.4502322951712</v>
      </c>
      <c r="D52" s="73">
        <f t="shared" si="1"/>
        <v>17372.512225283001</v>
      </c>
      <c r="E52" s="69">
        <f t="shared" si="2"/>
        <v>4175097.6271518194</v>
      </c>
      <c r="H52" s="68">
        <v>38</v>
      </c>
      <c r="I52" s="73">
        <f t="shared" si="8"/>
        <v>35088.763869785347</v>
      </c>
      <c r="J52" s="73">
        <f t="shared" si="9"/>
        <v>10064.916630304917</v>
      </c>
      <c r="K52" s="73">
        <f t="shared" si="3"/>
        <v>25023.84723948043</v>
      </c>
      <c r="L52" s="69">
        <f t="shared" si="4"/>
        <v>6013926.1309434697</v>
      </c>
      <c r="N52" s="68">
        <v>38</v>
      </c>
      <c r="O52" s="73">
        <f t="shared" si="10"/>
        <v>74431.958918943608</v>
      </c>
      <c r="P52" s="73">
        <f t="shared" si="11"/>
        <v>8066.8168222587592</v>
      </c>
      <c r="Q52" s="73">
        <f t="shared" si="5"/>
        <v>66365.142096684853</v>
      </c>
      <c r="R52" s="69">
        <f t="shared" si="6"/>
        <v>1546998.222355067</v>
      </c>
    </row>
    <row r="53" spans="1:18" ht="14.25" customHeight="1" x14ac:dyDescent="0.2">
      <c r="A53" s="68">
        <v>39</v>
      </c>
      <c r="B53" s="73">
        <f t="shared" si="0"/>
        <v>24359.962457578171</v>
      </c>
      <c r="C53" s="73">
        <f t="shared" si="7"/>
        <v>6958.4960452530331</v>
      </c>
      <c r="D53" s="73">
        <f t="shared" si="1"/>
        <v>17401.466412325139</v>
      </c>
      <c r="E53" s="69">
        <f t="shared" si="2"/>
        <v>4157696.1607394945</v>
      </c>
      <c r="H53" s="68">
        <v>39</v>
      </c>
      <c r="I53" s="73">
        <f t="shared" si="8"/>
        <v>35088.763869785347</v>
      </c>
      <c r="J53" s="73">
        <f t="shared" si="9"/>
        <v>10023.210218239117</v>
      </c>
      <c r="K53" s="73">
        <f t="shared" si="3"/>
        <v>25065.55365154623</v>
      </c>
      <c r="L53" s="69">
        <f t="shared" si="4"/>
        <v>5988860.5772919236</v>
      </c>
      <c r="N53" s="68">
        <v>39</v>
      </c>
      <c r="O53" s="73">
        <f t="shared" si="10"/>
        <v>74431.958918943608</v>
      </c>
      <c r="P53" s="73">
        <f t="shared" si="11"/>
        <v>7734.9911117753354</v>
      </c>
      <c r="Q53" s="73">
        <f t="shared" si="5"/>
        <v>66696.967807168272</v>
      </c>
      <c r="R53" s="69">
        <f t="shared" si="6"/>
        <v>1480301.2545478987</v>
      </c>
    </row>
    <row r="54" spans="1:18" ht="14.25" customHeight="1" x14ac:dyDescent="0.2">
      <c r="A54" s="68">
        <v>40</v>
      </c>
      <c r="B54" s="73">
        <f t="shared" si="0"/>
        <v>24359.962457578171</v>
      </c>
      <c r="C54" s="73">
        <f t="shared" si="7"/>
        <v>6929.4936012324915</v>
      </c>
      <c r="D54" s="73">
        <f t="shared" si="1"/>
        <v>17430.46885634568</v>
      </c>
      <c r="E54" s="69">
        <f t="shared" si="2"/>
        <v>4140265.6918831486</v>
      </c>
      <c r="H54" s="68">
        <v>40</v>
      </c>
      <c r="I54" s="73">
        <f t="shared" si="8"/>
        <v>35088.763869785347</v>
      </c>
      <c r="J54" s="73">
        <f t="shared" si="9"/>
        <v>9981.4342954865406</v>
      </c>
      <c r="K54" s="73">
        <f t="shared" si="3"/>
        <v>25107.329574298805</v>
      </c>
      <c r="L54" s="69">
        <f t="shared" si="4"/>
        <v>5963753.2477176245</v>
      </c>
      <c r="N54" s="68">
        <v>40</v>
      </c>
      <c r="O54" s="73">
        <f t="shared" si="10"/>
        <v>74431.958918943608</v>
      </c>
      <c r="P54" s="73">
        <f t="shared" si="11"/>
        <v>7401.5062727394934</v>
      </c>
      <c r="Q54" s="73">
        <f t="shared" si="5"/>
        <v>67030.45264620411</v>
      </c>
      <c r="R54" s="69">
        <f t="shared" si="6"/>
        <v>1413270.8019016946</v>
      </c>
    </row>
    <row r="55" spans="1:18" ht="14.25" customHeight="1" x14ac:dyDescent="0.2">
      <c r="A55" s="68">
        <v>41</v>
      </c>
      <c r="B55" s="73">
        <f t="shared" si="0"/>
        <v>24359.962457578171</v>
      </c>
      <c r="C55" s="73">
        <f t="shared" si="7"/>
        <v>6900.4428198052483</v>
      </c>
      <c r="D55" s="73">
        <f t="shared" si="1"/>
        <v>17459.519637772923</v>
      </c>
      <c r="E55" s="69">
        <f t="shared" si="2"/>
        <v>4122806.1722453758</v>
      </c>
      <c r="H55" s="68">
        <v>41</v>
      </c>
      <c r="I55" s="73">
        <f t="shared" si="8"/>
        <v>35088.763869785347</v>
      </c>
      <c r="J55" s="73">
        <f t="shared" si="9"/>
        <v>9939.588746196041</v>
      </c>
      <c r="K55" s="73">
        <f t="shared" si="3"/>
        <v>25149.175123589306</v>
      </c>
      <c r="L55" s="69">
        <f t="shared" si="4"/>
        <v>5938604.0725940354</v>
      </c>
      <c r="N55" s="68">
        <v>41</v>
      </c>
      <c r="O55" s="73">
        <f t="shared" si="10"/>
        <v>74431.958918943608</v>
      </c>
      <c r="P55" s="73">
        <f t="shared" si="11"/>
        <v>7066.3540095084736</v>
      </c>
      <c r="Q55" s="73">
        <f t="shared" si="5"/>
        <v>67365.604909435133</v>
      </c>
      <c r="R55" s="69">
        <f t="shared" si="6"/>
        <v>1345905.1969922595</v>
      </c>
    </row>
    <row r="56" spans="1:18" ht="14.25" customHeight="1" x14ac:dyDescent="0.2">
      <c r="A56" s="68">
        <v>42</v>
      </c>
      <c r="B56" s="73">
        <f t="shared" si="0"/>
        <v>24359.962457578171</v>
      </c>
      <c r="C56" s="73">
        <f t="shared" si="7"/>
        <v>6871.3436204089603</v>
      </c>
      <c r="D56" s="73">
        <f t="shared" si="1"/>
        <v>17488.618837169211</v>
      </c>
      <c r="E56" s="69">
        <f t="shared" si="2"/>
        <v>4105317.5534082064</v>
      </c>
      <c r="H56" s="68">
        <v>42</v>
      </c>
      <c r="I56" s="73">
        <f t="shared" si="8"/>
        <v>35088.763869785347</v>
      </c>
      <c r="J56" s="73">
        <f t="shared" si="9"/>
        <v>9897.6734543233924</v>
      </c>
      <c r="K56" s="73">
        <f t="shared" si="3"/>
        <v>25191.090415461957</v>
      </c>
      <c r="L56" s="69">
        <f t="shared" si="4"/>
        <v>5913412.9821785735</v>
      </c>
      <c r="N56" s="68">
        <v>42</v>
      </c>
      <c r="O56" s="73">
        <f t="shared" si="10"/>
        <v>74431.958918943608</v>
      </c>
      <c r="P56" s="73">
        <f t="shared" si="11"/>
        <v>6729.5259849612976</v>
      </c>
      <c r="Q56" s="73">
        <f t="shared" si="5"/>
        <v>67702.432933982316</v>
      </c>
      <c r="R56" s="69">
        <f t="shared" si="6"/>
        <v>1278202.7640582772</v>
      </c>
    </row>
    <row r="57" spans="1:18" ht="14.25" customHeight="1" x14ac:dyDescent="0.2">
      <c r="A57" s="68">
        <v>43</v>
      </c>
      <c r="B57" s="73">
        <f t="shared" si="0"/>
        <v>24359.962457578171</v>
      </c>
      <c r="C57" s="73">
        <f t="shared" si="7"/>
        <v>6842.1959223470112</v>
      </c>
      <c r="D57" s="73">
        <f t="shared" si="1"/>
        <v>17517.76653523116</v>
      </c>
      <c r="E57" s="69">
        <f t="shared" si="2"/>
        <v>4087799.7868729751</v>
      </c>
      <c r="H57" s="68">
        <v>43</v>
      </c>
      <c r="I57" s="73">
        <f t="shared" si="8"/>
        <v>35088.763869785347</v>
      </c>
      <c r="J57" s="73">
        <f t="shared" si="9"/>
        <v>9855.6883036309573</v>
      </c>
      <c r="K57" s="73">
        <f t="shared" si="3"/>
        <v>25233.075566154388</v>
      </c>
      <c r="L57" s="69">
        <f t="shared" si="4"/>
        <v>5888179.9066124195</v>
      </c>
      <c r="N57" s="68">
        <v>43</v>
      </c>
      <c r="O57" s="73">
        <f t="shared" si="10"/>
        <v>74431.958918943608</v>
      </c>
      <c r="P57" s="73">
        <f t="shared" si="11"/>
        <v>6391.0138202913868</v>
      </c>
      <c r="Q57" s="73">
        <f t="shared" si="5"/>
        <v>68040.945098652228</v>
      </c>
      <c r="R57" s="69">
        <f t="shared" si="6"/>
        <v>1210161.818959625</v>
      </c>
    </row>
    <row r="58" spans="1:18" ht="14.25" customHeight="1" x14ac:dyDescent="0.2">
      <c r="A58" s="68">
        <v>44</v>
      </c>
      <c r="B58" s="73">
        <f t="shared" si="0"/>
        <v>24359.962457578171</v>
      </c>
      <c r="C58" s="73">
        <f t="shared" si="7"/>
        <v>6812.9996447882922</v>
      </c>
      <c r="D58" s="73">
        <f t="shared" si="1"/>
        <v>17546.96281278988</v>
      </c>
      <c r="E58" s="69">
        <f t="shared" si="2"/>
        <v>4070252.8240601853</v>
      </c>
      <c r="H58" s="68">
        <v>44</v>
      </c>
      <c r="I58" s="73">
        <f t="shared" si="8"/>
        <v>35088.763869785347</v>
      </c>
      <c r="J58" s="73">
        <f t="shared" si="9"/>
        <v>9813.6331776873667</v>
      </c>
      <c r="K58" s="73">
        <f t="shared" si="3"/>
        <v>25275.13069209798</v>
      </c>
      <c r="L58" s="69">
        <f t="shared" si="4"/>
        <v>5862904.7759203212</v>
      </c>
      <c r="N58" s="68">
        <v>44</v>
      </c>
      <c r="O58" s="73">
        <f t="shared" si="10"/>
        <v>74431.958918943608</v>
      </c>
      <c r="P58" s="73">
        <f t="shared" si="11"/>
        <v>6050.8090947981245</v>
      </c>
      <c r="Q58" s="73">
        <f t="shared" si="5"/>
        <v>68381.149824145483</v>
      </c>
      <c r="R58" s="69">
        <f t="shared" si="6"/>
        <v>1141780.6691354795</v>
      </c>
    </row>
    <row r="59" spans="1:18" ht="14.25" customHeight="1" x14ac:dyDescent="0.2">
      <c r="A59" s="68">
        <v>45</v>
      </c>
      <c r="B59" s="73">
        <f t="shared" si="0"/>
        <v>24359.962457578171</v>
      </c>
      <c r="C59" s="73">
        <f t="shared" si="7"/>
        <v>6783.7547067669757</v>
      </c>
      <c r="D59" s="73">
        <f t="shared" si="1"/>
        <v>17576.207750811194</v>
      </c>
      <c r="E59" s="69">
        <f t="shared" si="2"/>
        <v>4052676.6163093741</v>
      </c>
      <c r="H59" s="68">
        <v>45</v>
      </c>
      <c r="I59" s="73">
        <f t="shared" si="8"/>
        <v>35088.763869785347</v>
      </c>
      <c r="J59" s="73">
        <f t="shared" si="9"/>
        <v>9771.5079598672019</v>
      </c>
      <c r="K59" s="73">
        <f t="shared" si="3"/>
        <v>25317.255909918145</v>
      </c>
      <c r="L59" s="69">
        <f t="shared" si="4"/>
        <v>5837587.5200104034</v>
      </c>
      <c r="N59" s="68">
        <v>45</v>
      </c>
      <c r="O59" s="73">
        <f t="shared" si="10"/>
        <v>74431.958918943608</v>
      </c>
      <c r="P59" s="73">
        <f t="shared" si="11"/>
        <v>5708.9033456773977</v>
      </c>
      <c r="Q59" s="73">
        <f t="shared" si="5"/>
        <v>68723.055573266203</v>
      </c>
      <c r="R59" s="69">
        <f t="shared" si="6"/>
        <v>1073057.6135622133</v>
      </c>
    </row>
    <row r="60" spans="1:18" ht="14.25" customHeight="1" x14ac:dyDescent="0.2">
      <c r="A60" s="68">
        <v>46</v>
      </c>
      <c r="B60" s="73">
        <f t="shared" si="0"/>
        <v>24359.962457578171</v>
      </c>
      <c r="C60" s="73">
        <f t="shared" si="7"/>
        <v>6754.4610271822903</v>
      </c>
      <c r="D60" s="73">
        <f t="shared" si="1"/>
        <v>17605.501430395881</v>
      </c>
      <c r="E60" s="69">
        <f t="shared" si="2"/>
        <v>4035071.1148789781</v>
      </c>
      <c r="H60" s="68">
        <v>46</v>
      </c>
      <c r="I60" s="73">
        <f t="shared" si="8"/>
        <v>35088.763869785347</v>
      </c>
      <c r="J60" s="73">
        <f t="shared" si="9"/>
        <v>9729.3125333506723</v>
      </c>
      <c r="K60" s="73">
        <f t="shared" si="3"/>
        <v>25359.451336434675</v>
      </c>
      <c r="L60" s="69">
        <f t="shared" si="4"/>
        <v>5812228.0686739683</v>
      </c>
      <c r="N60" s="68">
        <v>46</v>
      </c>
      <c r="O60" s="73">
        <f t="shared" si="10"/>
        <v>74431.958918943608</v>
      </c>
      <c r="P60" s="73">
        <f t="shared" si="11"/>
        <v>5365.288067811066</v>
      </c>
      <c r="Q60" s="73">
        <f t="shared" si="5"/>
        <v>69066.670851132541</v>
      </c>
      <c r="R60" s="69">
        <f t="shared" si="6"/>
        <v>1003990.9427110807</v>
      </c>
    </row>
    <row r="61" spans="1:18" ht="14.25" customHeight="1" x14ac:dyDescent="0.2">
      <c r="A61" s="68">
        <v>47</v>
      </c>
      <c r="B61" s="73">
        <f t="shared" si="0"/>
        <v>24359.962457578171</v>
      </c>
      <c r="C61" s="73">
        <f t="shared" si="7"/>
        <v>6725.1185247982976</v>
      </c>
      <c r="D61" s="73">
        <f t="shared" si="1"/>
        <v>17634.843932779873</v>
      </c>
      <c r="E61" s="69">
        <f t="shared" si="2"/>
        <v>4017436.2709461981</v>
      </c>
      <c r="H61" s="68">
        <v>47</v>
      </c>
      <c r="I61" s="73">
        <f t="shared" si="8"/>
        <v>35088.763869785347</v>
      </c>
      <c r="J61" s="73">
        <f t="shared" si="9"/>
        <v>9687.0467811232811</v>
      </c>
      <c r="K61" s="73">
        <f t="shared" si="3"/>
        <v>25401.717088662066</v>
      </c>
      <c r="L61" s="69">
        <f t="shared" si="4"/>
        <v>5786826.3515853062</v>
      </c>
      <c r="N61" s="68">
        <v>47</v>
      </c>
      <c r="O61" s="73">
        <f t="shared" si="10"/>
        <v>74431.958918943608</v>
      </c>
      <c r="P61" s="73">
        <f t="shared" si="11"/>
        <v>5019.954713555403</v>
      </c>
      <c r="Q61" s="73">
        <f t="shared" si="5"/>
        <v>69412.004205388206</v>
      </c>
      <c r="R61" s="69">
        <f t="shared" si="6"/>
        <v>934578.93850569241</v>
      </c>
    </row>
    <row r="62" spans="1:18" ht="14.25" customHeight="1" x14ac:dyDescent="0.2">
      <c r="A62" s="68">
        <v>48</v>
      </c>
      <c r="B62" s="73">
        <f t="shared" si="0"/>
        <v>24359.962457578171</v>
      </c>
      <c r="C62" s="73">
        <f t="shared" si="7"/>
        <v>6695.7271182436643</v>
      </c>
      <c r="D62" s="73">
        <f t="shared" si="1"/>
        <v>17664.235339334507</v>
      </c>
      <c r="E62" s="69">
        <f t="shared" si="2"/>
        <v>3999772.0356068634</v>
      </c>
      <c r="H62" s="68">
        <v>48</v>
      </c>
      <c r="I62" s="73">
        <f t="shared" si="8"/>
        <v>35088.763869785347</v>
      </c>
      <c r="J62" s="73">
        <f t="shared" si="9"/>
        <v>9644.7105859755102</v>
      </c>
      <c r="K62" s="73">
        <f t="shared" si="3"/>
        <v>25444.053283809837</v>
      </c>
      <c r="L62" s="69">
        <f t="shared" si="4"/>
        <v>5761382.2983014965</v>
      </c>
      <c r="N62" s="68">
        <v>48</v>
      </c>
      <c r="O62" s="73">
        <f t="shared" si="10"/>
        <v>74431.958918943608</v>
      </c>
      <c r="P62" s="73">
        <f t="shared" si="11"/>
        <v>4672.8946925284617</v>
      </c>
      <c r="Q62" s="73">
        <f t="shared" si="5"/>
        <v>69759.064226415154</v>
      </c>
      <c r="R62" s="69">
        <f t="shared" si="6"/>
        <v>864819.87427927728</v>
      </c>
    </row>
    <row r="63" spans="1:18" ht="14.25" customHeight="1" x14ac:dyDescent="0.2">
      <c r="A63" s="68">
        <v>49</v>
      </c>
      <c r="B63" s="73">
        <f t="shared" si="0"/>
        <v>24359.962457578171</v>
      </c>
      <c r="C63" s="73">
        <f t="shared" si="7"/>
        <v>6666.2867260114399</v>
      </c>
      <c r="D63" s="73">
        <f t="shared" si="1"/>
        <v>17693.675731566731</v>
      </c>
      <c r="E63" s="69">
        <f t="shared" si="2"/>
        <v>3982078.3598752967</v>
      </c>
      <c r="H63" s="68">
        <v>49</v>
      </c>
      <c r="I63" s="73">
        <f t="shared" si="8"/>
        <v>35088.763869785347</v>
      </c>
      <c r="J63" s="73">
        <f t="shared" si="9"/>
        <v>9602.3038305024947</v>
      </c>
      <c r="K63" s="73">
        <f t="shared" si="3"/>
        <v>25486.460039282851</v>
      </c>
      <c r="L63" s="69">
        <f t="shared" si="4"/>
        <v>5735895.8382622134</v>
      </c>
      <c r="N63" s="68">
        <v>49</v>
      </c>
      <c r="O63" s="73">
        <f t="shared" si="10"/>
        <v>74431.958918943608</v>
      </c>
      <c r="P63" s="73">
        <f t="shared" si="11"/>
        <v>4324.0993713963862</v>
      </c>
      <c r="Q63" s="73">
        <f t="shared" si="5"/>
        <v>70107.859547547225</v>
      </c>
      <c r="R63" s="69">
        <f t="shared" si="6"/>
        <v>794712.0147317301</v>
      </c>
    </row>
    <row r="64" spans="1:18" ht="14.25" customHeight="1" x14ac:dyDescent="0.2">
      <c r="A64" s="68">
        <v>50</v>
      </c>
      <c r="B64" s="73">
        <f t="shared" si="0"/>
        <v>24359.962457578171</v>
      </c>
      <c r="C64" s="73">
        <f t="shared" si="7"/>
        <v>6636.7972664588278</v>
      </c>
      <c r="D64" s="73">
        <f t="shared" si="1"/>
        <v>17723.165191119344</v>
      </c>
      <c r="E64" s="69">
        <f t="shared" si="2"/>
        <v>3964355.1946841772</v>
      </c>
      <c r="H64" s="68">
        <v>50</v>
      </c>
      <c r="I64" s="73">
        <f t="shared" si="8"/>
        <v>35088.763869785347</v>
      </c>
      <c r="J64" s="73">
        <f t="shared" si="9"/>
        <v>9559.8263971036904</v>
      </c>
      <c r="K64" s="73">
        <f t="shared" si="3"/>
        <v>25528.937472681657</v>
      </c>
      <c r="L64" s="69">
        <f t="shared" si="4"/>
        <v>5710366.9007895319</v>
      </c>
      <c r="N64" s="68">
        <v>50</v>
      </c>
      <c r="O64" s="73">
        <f t="shared" si="10"/>
        <v>74431.958918943608</v>
      </c>
      <c r="P64" s="73">
        <f t="shared" si="11"/>
        <v>3973.5600736586507</v>
      </c>
      <c r="Q64" s="73">
        <f t="shared" si="5"/>
        <v>70458.398845284959</v>
      </c>
      <c r="R64" s="69">
        <f t="shared" si="6"/>
        <v>724253.61588644516</v>
      </c>
    </row>
    <row r="65" spans="1:18" ht="14.25" customHeight="1" x14ac:dyDescent="0.2">
      <c r="A65" s="68">
        <v>51</v>
      </c>
      <c r="B65" s="73">
        <f t="shared" si="0"/>
        <v>24359.962457578171</v>
      </c>
      <c r="C65" s="73">
        <f t="shared" si="7"/>
        <v>6607.2586578069622</v>
      </c>
      <c r="D65" s="73">
        <f t="shared" si="1"/>
        <v>17752.70379977121</v>
      </c>
      <c r="E65" s="69">
        <f t="shared" si="2"/>
        <v>3946602.490884406</v>
      </c>
      <c r="H65" s="68">
        <v>51</v>
      </c>
      <c r="I65" s="73">
        <f t="shared" si="8"/>
        <v>35088.763869785347</v>
      </c>
      <c r="J65" s="73">
        <f t="shared" si="9"/>
        <v>9517.278167982553</v>
      </c>
      <c r="K65" s="73">
        <f t="shared" si="3"/>
        <v>25571.485701802794</v>
      </c>
      <c r="L65" s="69">
        <f t="shared" si="4"/>
        <v>5684795.4150877288</v>
      </c>
      <c r="N65" s="68">
        <v>51</v>
      </c>
      <c r="O65" s="73">
        <f t="shared" si="10"/>
        <v>74431.958918943608</v>
      </c>
      <c r="P65" s="73">
        <f t="shared" si="11"/>
        <v>3621.2680794322259</v>
      </c>
      <c r="Q65" s="73">
        <f t="shared" si="5"/>
        <v>70810.690839511386</v>
      </c>
      <c r="R65" s="69">
        <f t="shared" si="6"/>
        <v>653442.92504693381</v>
      </c>
    </row>
    <row r="66" spans="1:18" ht="14.25" customHeight="1" x14ac:dyDescent="0.2">
      <c r="A66" s="68">
        <v>52</v>
      </c>
      <c r="B66" s="73">
        <f t="shared" si="0"/>
        <v>24359.962457578171</v>
      </c>
      <c r="C66" s="73">
        <f t="shared" si="7"/>
        <v>6577.6708181406775</v>
      </c>
      <c r="D66" s="73">
        <f t="shared" si="1"/>
        <v>17782.291639437492</v>
      </c>
      <c r="E66" s="69">
        <f t="shared" si="2"/>
        <v>3928820.1992449686</v>
      </c>
      <c r="H66" s="68">
        <v>52</v>
      </c>
      <c r="I66" s="73">
        <f t="shared" si="8"/>
        <v>35088.763869785347</v>
      </c>
      <c r="J66" s="73">
        <f t="shared" si="9"/>
        <v>9474.6590251462148</v>
      </c>
      <c r="K66" s="73">
        <f t="shared" si="3"/>
        <v>25614.104844639132</v>
      </c>
      <c r="L66" s="69">
        <f t="shared" si="4"/>
        <v>5659181.3102430897</v>
      </c>
      <c r="N66" s="68">
        <v>52</v>
      </c>
      <c r="O66" s="73">
        <f t="shared" si="10"/>
        <v>74431.958918943608</v>
      </c>
      <c r="P66" s="73">
        <f t="shared" si="11"/>
        <v>3267.2146252346693</v>
      </c>
      <c r="Q66" s="73">
        <f t="shared" si="5"/>
        <v>71164.744293708936</v>
      </c>
      <c r="R66" s="69">
        <f t="shared" si="6"/>
        <v>582278.18075322488</v>
      </c>
    </row>
    <row r="67" spans="1:18" ht="14.25" customHeight="1" x14ac:dyDescent="0.2">
      <c r="A67" s="68">
        <v>53</v>
      </c>
      <c r="B67" s="73">
        <f t="shared" si="0"/>
        <v>24359.962457578171</v>
      </c>
      <c r="C67" s="73">
        <f t="shared" si="7"/>
        <v>6548.0336654082812</v>
      </c>
      <c r="D67" s="73">
        <f t="shared" si="1"/>
        <v>17811.928792169889</v>
      </c>
      <c r="E67" s="69">
        <f t="shared" si="2"/>
        <v>3911008.2704527988</v>
      </c>
      <c r="H67" s="68">
        <v>53</v>
      </c>
      <c r="I67" s="73">
        <f t="shared" si="8"/>
        <v>35088.763869785347</v>
      </c>
      <c r="J67" s="73">
        <f t="shared" si="9"/>
        <v>9431.9688504051501</v>
      </c>
      <c r="K67" s="73">
        <f t="shared" si="3"/>
        <v>25656.795019380195</v>
      </c>
      <c r="L67" s="69">
        <f t="shared" si="4"/>
        <v>5633524.5152237099</v>
      </c>
      <c r="N67" s="68">
        <v>53</v>
      </c>
      <c r="O67" s="73">
        <f t="shared" si="10"/>
        <v>74431.958918943608</v>
      </c>
      <c r="P67" s="73">
        <f t="shared" si="11"/>
        <v>2911.3909037661247</v>
      </c>
      <c r="Q67" s="73">
        <f t="shared" si="5"/>
        <v>71520.568015177487</v>
      </c>
      <c r="R67" s="69">
        <f t="shared" si="6"/>
        <v>510757.61273804738</v>
      </c>
    </row>
    <row r="68" spans="1:18" ht="14.25" customHeight="1" x14ac:dyDescent="0.2">
      <c r="A68" s="68">
        <v>54</v>
      </c>
      <c r="B68" s="73">
        <f t="shared" si="0"/>
        <v>24359.962457578171</v>
      </c>
      <c r="C68" s="73">
        <f t="shared" si="7"/>
        <v>6518.3471174213319</v>
      </c>
      <c r="D68" s="73">
        <f t="shared" si="1"/>
        <v>17841.615340156837</v>
      </c>
      <c r="E68" s="69">
        <f t="shared" si="2"/>
        <v>3893166.6551126419</v>
      </c>
      <c r="H68" s="68">
        <v>54</v>
      </c>
      <c r="I68" s="73">
        <f t="shared" si="8"/>
        <v>35088.763869785347</v>
      </c>
      <c r="J68" s="73">
        <f t="shared" si="9"/>
        <v>9389.2075253728508</v>
      </c>
      <c r="K68" s="73">
        <f t="shared" si="3"/>
        <v>25699.556344412496</v>
      </c>
      <c r="L68" s="69">
        <f t="shared" si="4"/>
        <v>5607824.9588792976</v>
      </c>
      <c r="N68" s="68">
        <v>54</v>
      </c>
      <c r="O68" s="73">
        <f t="shared" si="10"/>
        <v>74431.958918943608</v>
      </c>
      <c r="P68" s="73">
        <f t="shared" si="11"/>
        <v>2553.7880636902369</v>
      </c>
      <c r="Q68" s="73">
        <f t="shared" si="5"/>
        <v>71878.170855253367</v>
      </c>
      <c r="R68" s="69">
        <f t="shared" si="6"/>
        <v>438879.44188279402</v>
      </c>
    </row>
    <row r="69" spans="1:18" ht="14.25" customHeight="1" x14ac:dyDescent="0.2">
      <c r="A69" s="68">
        <v>55</v>
      </c>
      <c r="B69" s="73">
        <f t="shared" si="0"/>
        <v>24359.962457578171</v>
      </c>
      <c r="C69" s="73">
        <f t="shared" si="7"/>
        <v>6488.6110918544036</v>
      </c>
      <c r="D69" s="73">
        <f t="shared" si="1"/>
        <v>17871.351365723767</v>
      </c>
      <c r="E69" s="69">
        <f t="shared" si="2"/>
        <v>3875295.3037469182</v>
      </c>
      <c r="H69" s="68">
        <v>55</v>
      </c>
      <c r="I69" s="73">
        <f t="shared" si="8"/>
        <v>35088.763869785347</v>
      </c>
      <c r="J69" s="73">
        <f t="shared" si="9"/>
        <v>9346.374931465496</v>
      </c>
      <c r="K69" s="73">
        <f t="shared" si="3"/>
        <v>25742.388938319851</v>
      </c>
      <c r="L69" s="69">
        <f t="shared" si="4"/>
        <v>5582082.5699409777</v>
      </c>
      <c r="N69" s="68">
        <v>55</v>
      </c>
      <c r="O69" s="73">
        <f t="shared" si="10"/>
        <v>74431.958918943608</v>
      </c>
      <c r="P69" s="73">
        <f t="shared" si="11"/>
        <v>2194.3972094139704</v>
      </c>
      <c r="Q69" s="73">
        <f t="shared" si="5"/>
        <v>72237.561709529633</v>
      </c>
      <c r="R69" s="69">
        <f t="shared" si="6"/>
        <v>366641.88017326442</v>
      </c>
    </row>
    <row r="70" spans="1:18" ht="14.25" customHeight="1" x14ac:dyDescent="0.2">
      <c r="A70" s="68">
        <v>56</v>
      </c>
      <c r="B70" s="73">
        <f t="shared" si="0"/>
        <v>24359.962457578171</v>
      </c>
      <c r="C70" s="73">
        <f t="shared" si="7"/>
        <v>6458.8255062448643</v>
      </c>
      <c r="D70" s="73">
        <f t="shared" si="1"/>
        <v>17901.136951333305</v>
      </c>
      <c r="E70" s="69">
        <f t="shared" si="2"/>
        <v>3857394.1667955848</v>
      </c>
      <c r="H70" s="68">
        <v>56</v>
      </c>
      <c r="I70" s="73">
        <f t="shared" si="8"/>
        <v>35088.763869785347</v>
      </c>
      <c r="J70" s="73">
        <f t="shared" si="9"/>
        <v>9303.4709499016299</v>
      </c>
      <c r="K70" s="73">
        <f t="shared" si="3"/>
        <v>25785.292919883716</v>
      </c>
      <c r="L70" s="69">
        <f t="shared" si="4"/>
        <v>5556297.2770210942</v>
      </c>
      <c r="N70" s="68">
        <v>56</v>
      </c>
      <c r="O70" s="73">
        <f t="shared" si="10"/>
        <v>74431.958918943608</v>
      </c>
      <c r="P70" s="73">
        <f t="shared" si="11"/>
        <v>1833.2094008663221</v>
      </c>
      <c r="Q70" s="73">
        <f t="shared" si="5"/>
        <v>72598.749518077282</v>
      </c>
      <c r="R70" s="69">
        <f t="shared" si="6"/>
        <v>294043.13065518712</v>
      </c>
    </row>
    <row r="71" spans="1:18" ht="14.25" customHeight="1" x14ac:dyDescent="0.2">
      <c r="A71" s="68">
        <v>57</v>
      </c>
      <c r="B71" s="73">
        <f t="shared" si="0"/>
        <v>24359.962457578171</v>
      </c>
      <c r="C71" s="73">
        <f t="shared" si="7"/>
        <v>6428.9902779926415</v>
      </c>
      <c r="D71" s="73">
        <f t="shared" si="1"/>
        <v>17930.972179585529</v>
      </c>
      <c r="E71" s="69">
        <f t="shared" si="2"/>
        <v>3839463.1946159992</v>
      </c>
      <c r="H71" s="68">
        <v>57</v>
      </c>
      <c r="I71" s="73">
        <f t="shared" si="8"/>
        <v>35088.763869785347</v>
      </c>
      <c r="J71" s="73">
        <f t="shared" si="9"/>
        <v>9260.4954617018248</v>
      </c>
      <c r="K71" s="73">
        <f t="shared" si="3"/>
        <v>25828.268408083524</v>
      </c>
      <c r="L71" s="69">
        <f t="shared" si="4"/>
        <v>5530469.0086130109</v>
      </c>
      <c r="N71" s="68">
        <v>57</v>
      </c>
      <c r="O71" s="73">
        <f t="shared" si="10"/>
        <v>74431.958918943608</v>
      </c>
      <c r="P71" s="73">
        <f t="shared" si="11"/>
        <v>1470.2156532759357</v>
      </c>
      <c r="Q71" s="73">
        <f t="shared" si="5"/>
        <v>72961.743265667668</v>
      </c>
      <c r="R71" s="69">
        <f t="shared" si="6"/>
        <v>221081.38738951946</v>
      </c>
    </row>
    <row r="72" spans="1:18" ht="14.25" customHeight="1" x14ac:dyDescent="0.2">
      <c r="A72" s="68">
        <v>58</v>
      </c>
      <c r="B72" s="73">
        <f t="shared" si="0"/>
        <v>24359.962457578171</v>
      </c>
      <c r="C72" s="73">
        <f t="shared" si="7"/>
        <v>6399.105324359999</v>
      </c>
      <c r="D72" s="73">
        <f t="shared" si="1"/>
        <v>17960.857133218171</v>
      </c>
      <c r="E72" s="69">
        <f t="shared" si="2"/>
        <v>3821502.3374827811</v>
      </c>
      <c r="H72" s="68">
        <v>58</v>
      </c>
      <c r="I72" s="73">
        <f t="shared" si="8"/>
        <v>35088.763869785347</v>
      </c>
      <c r="J72" s="73">
        <f t="shared" si="9"/>
        <v>9217.4483476883524</v>
      </c>
      <c r="K72" s="73">
        <f t="shared" si="3"/>
        <v>25871.315522096993</v>
      </c>
      <c r="L72" s="69">
        <f t="shared" si="4"/>
        <v>5504597.6930909138</v>
      </c>
      <c r="N72" s="68">
        <v>58</v>
      </c>
      <c r="O72" s="73">
        <f t="shared" si="10"/>
        <v>74431.958918943608</v>
      </c>
      <c r="P72" s="73">
        <f t="shared" si="11"/>
        <v>1105.4069369475974</v>
      </c>
      <c r="Q72" s="73">
        <f t="shared" si="5"/>
        <v>73326.551981996017</v>
      </c>
      <c r="R72" s="69">
        <f t="shared" si="6"/>
        <v>147754.83540752344</v>
      </c>
    </row>
    <row r="73" spans="1:18" ht="14.25" customHeight="1" x14ac:dyDescent="0.2">
      <c r="A73" s="68">
        <v>59</v>
      </c>
      <c r="B73" s="73">
        <f t="shared" si="0"/>
        <v>24359.962457578171</v>
      </c>
      <c r="C73" s="73">
        <f t="shared" si="7"/>
        <v>6369.1705624713022</v>
      </c>
      <c r="D73" s="73">
        <f t="shared" si="1"/>
        <v>17990.791895106868</v>
      </c>
      <c r="E73" s="69">
        <f t="shared" si="2"/>
        <v>3803511.5455876742</v>
      </c>
      <c r="H73" s="68">
        <v>59</v>
      </c>
      <c r="I73" s="73">
        <f t="shared" si="8"/>
        <v>35088.763869785347</v>
      </c>
      <c r="J73" s="73">
        <f t="shared" si="9"/>
        <v>9174.3294884848565</v>
      </c>
      <c r="K73" s="73">
        <f t="shared" si="3"/>
        <v>25914.434381300489</v>
      </c>
      <c r="L73" s="69">
        <f t="shared" si="4"/>
        <v>5478683.2587096132</v>
      </c>
      <c r="N73" s="68">
        <v>59</v>
      </c>
      <c r="O73" s="73">
        <f t="shared" si="10"/>
        <v>74431.958918943608</v>
      </c>
      <c r="P73" s="73">
        <f t="shared" si="11"/>
        <v>738.77417703761716</v>
      </c>
      <c r="Q73" s="73">
        <f t="shared" si="5"/>
        <v>73693.184741905992</v>
      </c>
      <c r="R73" s="69">
        <f t="shared" si="6"/>
        <v>74061.650665617446</v>
      </c>
    </row>
    <row r="74" spans="1:18" ht="14.25" customHeight="1" x14ac:dyDescent="0.2">
      <c r="A74" s="68">
        <v>60</v>
      </c>
      <c r="B74" s="73">
        <f t="shared" si="0"/>
        <v>24359.962457578171</v>
      </c>
      <c r="C74" s="73">
        <f t="shared" si="7"/>
        <v>6339.1859093127905</v>
      </c>
      <c r="D74" s="73">
        <f t="shared" si="1"/>
        <v>18020.776548265381</v>
      </c>
      <c r="E74" s="69">
        <f t="shared" si="2"/>
        <v>3785490.7690394088</v>
      </c>
      <c r="H74" s="68">
        <v>60</v>
      </c>
      <c r="I74" s="73">
        <f t="shared" si="8"/>
        <v>35088.763869785347</v>
      </c>
      <c r="J74" s="73">
        <f t="shared" si="9"/>
        <v>9131.138764516023</v>
      </c>
      <c r="K74" s="73">
        <f t="shared" si="3"/>
        <v>25957.625105269326</v>
      </c>
      <c r="L74" s="69">
        <f t="shared" si="4"/>
        <v>5452725.633604344</v>
      </c>
      <c r="N74" s="68">
        <v>60</v>
      </c>
      <c r="O74" s="73">
        <f t="shared" si="10"/>
        <v>74431.958918943608</v>
      </c>
      <c r="P74" s="73">
        <f t="shared" si="11"/>
        <v>370.30825332808723</v>
      </c>
      <c r="Q74" s="73">
        <f t="shared" si="5"/>
        <v>74061.650665615525</v>
      </c>
      <c r="R74" s="69">
        <f t="shared" si="6"/>
        <v>1.9208528101444244E-9</v>
      </c>
    </row>
    <row r="75" spans="1:18" ht="14.25" customHeight="1" x14ac:dyDescent="0.2">
      <c r="A75" s="68">
        <v>61</v>
      </c>
      <c r="B75" s="73">
        <f t="shared" si="0"/>
        <v>24359.962457578171</v>
      </c>
      <c r="C75" s="73">
        <f t="shared" si="7"/>
        <v>6309.1512817323483</v>
      </c>
      <c r="D75" s="73">
        <f t="shared" si="1"/>
        <v>18050.811175845822</v>
      </c>
      <c r="E75" s="69">
        <f t="shared" si="2"/>
        <v>3767439.9578635627</v>
      </c>
      <c r="H75" s="68">
        <v>61</v>
      </c>
      <c r="I75" s="73">
        <f t="shared" si="8"/>
        <v>35088.763869785347</v>
      </c>
      <c r="J75" s="73">
        <f t="shared" si="9"/>
        <v>9087.8760560072405</v>
      </c>
      <c r="K75" s="73">
        <f t="shared" si="3"/>
        <v>26000.887813778107</v>
      </c>
      <c r="L75" s="69">
        <f t="shared" si="4"/>
        <v>5426724.7457905663</v>
      </c>
    </row>
    <row r="76" spans="1:18" ht="14.25" customHeight="1" x14ac:dyDescent="0.2">
      <c r="A76" s="68">
        <v>62</v>
      </c>
      <c r="B76" s="73">
        <f t="shared" si="0"/>
        <v>24359.962457578171</v>
      </c>
      <c r="C76" s="73">
        <f t="shared" si="7"/>
        <v>6279.066596439272</v>
      </c>
      <c r="D76" s="73">
        <f t="shared" si="1"/>
        <v>18080.895861138899</v>
      </c>
      <c r="E76" s="69">
        <f t="shared" si="2"/>
        <v>3749359.0620024237</v>
      </c>
      <c r="H76" s="68">
        <v>62</v>
      </c>
      <c r="I76" s="73">
        <f t="shared" si="8"/>
        <v>35088.763869785347</v>
      </c>
      <c r="J76" s="73">
        <f t="shared" si="9"/>
        <v>9044.5412429842781</v>
      </c>
      <c r="K76" s="73">
        <f t="shared" si="3"/>
        <v>26044.222626801071</v>
      </c>
      <c r="L76" s="69">
        <f t="shared" si="4"/>
        <v>5400680.5231637657</v>
      </c>
    </row>
    <row r="77" spans="1:18" ht="14.25" customHeight="1" x14ac:dyDescent="0.2">
      <c r="A77" s="68">
        <v>63</v>
      </c>
      <c r="B77" s="73">
        <f t="shared" si="0"/>
        <v>24359.962457578171</v>
      </c>
      <c r="C77" s="73">
        <f t="shared" si="7"/>
        <v>6248.9317700040401</v>
      </c>
      <c r="D77" s="73">
        <f t="shared" si="1"/>
        <v>18111.03068757413</v>
      </c>
      <c r="E77" s="69">
        <f t="shared" si="2"/>
        <v>3731248.0313148494</v>
      </c>
      <c r="H77" s="68">
        <v>63</v>
      </c>
      <c r="I77" s="73">
        <f t="shared" si="8"/>
        <v>35088.763869785347</v>
      </c>
      <c r="J77" s="73">
        <f t="shared" si="9"/>
        <v>9001.1342052729433</v>
      </c>
      <c r="K77" s="73">
        <f t="shared" si="3"/>
        <v>26087.629664512402</v>
      </c>
      <c r="L77" s="69">
        <f t="shared" si="4"/>
        <v>5374592.8934992533</v>
      </c>
    </row>
    <row r="78" spans="1:18" ht="14.25" customHeight="1" x14ac:dyDescent="0.2">
      <c r="A78" s="68">
        <v>64</v>
      </c>
      <c r="B78" s="73">
        <f t="shared" si="0"/>
        <v>24359.962457578171</v>
      </c>
      <c r="C78" s="73">
        <f t="shared" si="7"/>
        <v>6218.7467188580831</v>
      </c>
      <c r="D78" s="73">
        <f t="shared" si="1"/>
        <v>18141.215738720086</v>
      </c>
      <c r="E78" s="69">
        <f t="shared" si="2"/>
        <v>3713106.8155761291</v>
      </c>
      <c r="H78" s="68">
        <v>64</v>
      </c>
      <c r="I78" s="73">
        <f t="shared" si="8"/>
        <v>35088.763869785347</v>
      </c>
      <c r="J78" s="73">
        <f t="shared" si="9"/>
        <v>8957.6548224987564</v>
      </c>
      <c r="K78" s="73">
        <f t="shared" si="3"/>
        <v>26131.109047286591</v>
      </c>
      <c r="L78" s="69">
        <f t="shared" si="4"/>
        <v>5348461.7844519671</v>
      </c>
    </row>
    <row r="79" spans="1:18" ht="14.25" customHeight="1" x14ac:dyDescent="0.2">
      <c r="A79" s="68">
        <v>65</v>
      </c>
      <c r="B79" s="73">
        <f t="shared" si="0"/>
        <v>24359.962457578171</v>
      </c>
      <c r="C79" s="73">
        <f t="shared" si="7"/>
        <v>6188.5113592935486</v>
      </c>
      <c r="D79" s="73">
        <f t="shared" si="1"/>
        <v>18171.451098284622</v>
      </c>
      <c r="E79" s="69">
        <f t="shared" ref="E79:E142" si="12">E78-D79</f>
        <v>3694935.3644778444</v>
      </c>
      <c r="H79" s="68">
        <v>65</v>
      </c>
      <c r="I79" s="73">
        <f t="shared" si="8"/>
        <v>35088.763869785347</v>
      </c>
      <c r="J79" s="73">
        <f t="shared" si="9"/>
        <v>8914.1029740866124</v>
      </c>
      <c r="K79" s="73">
        <f t="shared" ref="K79:K142" si="13">I79-J79</f>
        <v>26174.660895698733</v>
      </c>
      <c r="L79" s="69">
        <f t="shared" ref="L79:L142" si="14">L78-K79</f>
        <v>5322287.1235562684</v>
      </c>
    </row>
    <row r="80" spans="1:18" ht="14.25" customHeight="1" x14ac:dyDescent="0.2">
      <c r="A80" s="68">
        <v>66</v>
      </c>
      <c r="B80" s="73">
        <f t="shared" si="0"/>
        <v>24359.962457578171</v>
      </c>
      <c r="C80" s="73">
        <f t="shared" si="7"/>
        <v>6158.2256074630741</v>
      </c>
      <c r="D80" s="73">
        <f t="shared" si="1"/>
        <v>18201.736850115096</v>
      </c>
      <c r="E80" s="69">
        <f t="shared" si="12"/>
        <v>3676733.6276277294</v>
      </c>
      <c r="H80" s="68">
        <v>66</v>
      </c>
      <c r="I80" s="73">
        <f t="shared" ref="I80:I143" si="15">PMT($J$7,$J$8,-$J$6,0,)</f>
        <v>35088.763869785347</v>
      </c>
      <c r="J80" s="73">
        <f t="shared" ref="J80:J143" si="16">L79*$C$7</f>
        <v>8870.4785392604481</v>
      </c>
      <c r="K80" s="73">
        <f t="shared" si="13"/>
        <v>26218.285330524901</v>
      </c>
      <c r="L80" s="69">
        <f t="shared" si="14"/>
        <v>5296068.8382257437</v>
      </c>
    </row>
    <row r="81" spans="1:12" ht="14.25" customHeight="1" x14ac:dyDescent="0.2">
      <c r="A81" s="68">
        <v>67</v>
      </c>
      <c r="B81" s="73">
        <f t="shared" si="0"/>
        <v>24359.962457578171</v>
      </c>
      <c r="C81" s="73">
        <f t="shared" si="7"/>
        <v>6127.8893793795496</v>
      </c>
      <c r="D81" s="73">
        <f t="shared" si="1"/>
        <v>18232.07307819862</v>
      </c>
      <c r="E81" s="69">
        <f t="shared" si="12"/>
        <v>3658501.5545495306</v>
      </c>
      <c r="H81" s="68">
        <v>67</v>
      </c>
      <c r="I81" s="73">
        <f t="shared" si="15"/>
        <v>35088.763869785347</v>
      </c>
      <c r="J81" s="73">
        <f t="shared" si="16"/>
        <v>8826.781397042907</v>
      </c>
      <c r="K81" s="73">
        <f t="shared" si="13"/>
        <v>26261.982472742442</v>
      </c>
      <c r="L81" s="69">
        <f t="shared" si="14"/>
        <v>5269806.8557530008</v>
      </c>
    </row>
    <row r="82" spans="1:12" ht="14.25" customHeight="1" x14ac:dyDescent="0.2">
      <c r="A82" s="68">
        <v>68</v>
      </c>
      <c r="B82" s="73">
        <f t="shared" si="0"/>
        <v>24359.962457578171</v>
      </c>
      <c r="C82" s="73">
        <f t="shared" si="7"/>
        <v>6097.5025909158849</v>
      </c>
      <c r="D82" s="73">
        <f t="shared" si="1"/>
        <v>18262.459866662284</v>
      </c>
      <c r="E82" s="69">
        <f t="shared" si="12"/>
        <v>3640239.0946828681</v>
      </c>
      <c r="H82" s="68">
        <v>68</v>
      </c>
      <c r="I82" s="73">
        <f t="shared" si="15"/>
        <v>35088.763869785347</v>
      </c>
      <c r="J82" s="73">
        <f t="shared" si="16"/>
        <v>8783.0114262550014</v>
      </c>
      <c r="K82" s="73">
        <f t="shared" si="13"/>
        <v>26305.752443530346</v>
      </c>
      <c r="L82" s="69">
        <f t="shared" si="14"/>
        <v>5243501.1033094702</v>
      </c>
    </row>
    <row r="83" spans="1:12" ht="14.25" customHeight="1" x14ac:dyDescent="0.2">
      <c r="A83" s="68">
        <v>69</v>
      </c>
      <c r="B83" s="73">
        <f t="shared" si="0"/>
        <v>24359.962457578171</v>
      </c>
      <c r="C83" s="73">
        <f t="shared" si="7"/>
        <v>6067.0651578047809</v>
      </c>
      <c r="D83" s="73">
        <f t="shared" si="1"/>
        <v>18292.897299773391</v>
      </c>
      <c r="E83" s="69">
        <f t="shared" si="12"/>
        <v>3621946.1973830946</v>
      </c>
      <c r="H83" s="68">
        <v>69</v>
      </c>
      <c r="I83" s="73">
        <f t="shared" si="15"/>
        <v>35088.763869785347</v>
      </c>
      <c r="J83" s="73">
        <f t="shared" si="16"/>
        <v>8739.168505515785</v>
      </c>
      <c r="K83" s="73">
        <f t="shared" si="13"/>
        <v>26349.59536426956</v>
      </c>
      <c r="L83" s="69">
        <f t="shared" si="14"/>
        <v>5217151.5079452004</v>
      </c>
    </row>
    <row r="84" spans="1:12" ht="14.25" customHeight="1" x14ac:dyDescent="0.2">
      <c r="A84" s="68">
        <v>70</v>
      </c>
      <c r="B84" s="73">
        <f t="shared" si="0"/>
        <v>24359.962457578171</v>
      </c>
      <c r="C84" s="73">
        <f t="shared" si="7"/>
        <v>6036.5769956384911</v>
      </c>
      <c r="D84" s="73">
        <f t="shared" si="1"/>
        <v>18323.385461939681</v>
      </c>
      <c r="E84" s="69">
        <f t="shared" si="12"/>
        <v>3603622.8119211551</v>
      </c>
      <c r="H84" s="68">
        <v>70</v>
      </c>
      <c r="I84" s="73">
        <f t="shared" si="15"/>
        <v>35088.763869785347</v>
      </c>
      <c r="J84" s="73">
        <f t="shared" si="16"/>
        <v>8695.2525132420014</v>
      </c>
      <c r="K84" s="73">
        <f t="shared" si="13"/>
        <v>26393.511356543346</v>
      </c>
      <c r="L84" s="69">
        <f t="shared" si="14"/>
        <v>5190757.9965886567</v>
      </c>
    </row>
    <row r="85" spans="1:12" ht="14.25" customHeight="1" x14ac:dyDescent="0.2">
      <c r="A85" s="68">
        <v>71</v>
      </c>
      <c r="B85" s="73">
        <f t="shared" si="0"/>
        <v>24359.962457578171</v>
      </c>
      <c r="C85" s="73">
        <f t="shared" si="7"/>
        <v>6006.0380198685925</v>
      </c>
      <c r="D85" s="73">
        <f t="shared" si="1"/>
        <v>18353.924437709578</v>
      </c>
      <c r="E85" s="69">
        <f t="shared" si="12"/>
        <v>3585268.8874834455</v>
      </c>
      <c r="H85" s="68">
        <v>71</v>
      </c>
      <c r="I85" s="73">
        <f t="shared" si="15"/>
        <v>35088.763869785347</v>
      </c>
      <c r="J85" s="73">
        <f t="shared" si="16"/>
        <v>8651.2633276477609</v>
      </c>
      <c r="K85" s="73">
        <f t="shared" si="13"/>
        <v>26437.500542137586</v>
      </c>
      <c r="L85" s="69">
        <f t="shared" si="14"/>
        <v>5164320.4960465189</v>
      </c>
    </row>
    <row r="86" spans="1:12" ht="14.25" customHeight="1" x14ac:dyDescent="0.2">
      <c r="A86" s="68">
        <v>72</v>
      </c>
      <c r="B86" s="73">
        <f t="shared" si="0"/>
        <v>24359.962457578171</v>
      </c>
      <c r="C86" s="73">
        <f t="shared" si="7"/>
        <v>5975.4481458057426</v>
      </c>
      <c r="D86" s="73">
        <f t="shared" si="1"/>
        <v>18384.514311772429</v>
      </c>
      <c r="E86" s="69">
        <f t="shared" si="12"/>
        <v>3566884.3731716732</v>
      </c>
      <c r="H86" s="68">
        <v>72</v>
      </c>
      <c r="I86" s="73">
        <f t="shared" si="15"/>
        <v>35088.763869785347</v>
      </c>
      <c r="J86" s="73">
        <f t="shared" si="16"/>
        <v>8607.2008267441979</v>
      </c>
      <c r="K86" s="73">
        <f t="shared" si="13"/>
        <v>26481.563043041147</v>
      </c>
      <c r="L86" s="69">
        <f t="shared" si="14"/>
        <v>5137838.9330034778</v>
      </c>
    </row>
    <row r="87" spans="1:12" ht="14.25" customHeight="1" x14ac:dyDescent="0.2">
      <c r="A87" s="68">
        <v>73</v>
      </c>
      <c r="B87" s="73">
        <f t="shared" si="0"/>
        <v>24359.962457578171</v>
      </c>
      <c r="C87" s="73">
        <f t="shared" si="7"/>
        <v>5944.8072886194559</v>
      </c>
      <c r="D87" s="73">
        <f t="shared" si="1"/>
        <v>18415.155168958714</v>
      </c>
      <c r="E87" s="69">
        <f t="shared" si="12"/>
        <v>3548469.2180027142</v>
      </c>
      <c r="H87" s="68">
        <v>73</v>
      </c>
      <c r="I87" s="73">
        <f t="shared" si="15"/>
        <v>35088.763869785347</v>
      </c>
      <c r="J87" s="73">
        <f t="shared" si="16"/>
        <v>8563.0648883391295</v>
      </c>
      <c r="K87" s="73">
        <f t="shared" si="13"/>
        <v>26525.698981446218</v>
      </c>
      <c r="L87" s="69">
        <f t="shared" si="14"/>
        <v>5111313.2340220315</v>
      </c>
    </row>
    <row r="88" spans="1:12" ht="14.25" customHeight="1" x14ac:dyDescent="0.2">
      <c r="A88" s="68">
        <v>74</v>
      </c>
      <c r="B88" s="73">
        <f t="shared" si="0"/>
        <v>24359.962457578171</v>
      </c>
      <c r="C88" s="73">
        <f t="shared" si="7"/>
        <v>5914.1153633378572</v>
      </c>
      <c r="D88" s="73">
        <f t="shared" si="1"/>
        <v>18445.847094240315</v>
      </c>
      <c r="E88" s="69">
        <f t="shared" si="12"/>
        <v>3530023.3709084741</v>
      </c>
      <c r="H88" s="68">
        <v>74</v>
      </c>
      <c r="I88" s="73">
        <f t="shared" si="15"/>
        <v>35088.763869785347</v>
      </c>
      <c r="J88" s="73">
        <f t="shared" si="16"/>
        <v>8518.8553900367206</v>
      </c>
      <c r="K88" s="73">
        <f t="shared" si="13"/>
        <v>26569.908479748628</v>
      </c>
      <c r="L88" s="69">
        <f t="shared" si="14"/>
        <v>5084743.3255422832</v>
      </c>
    </row>
    <row r="89" spans="1:12" ht="14.25" customHeight="1" x14ac:dyDescent="0.2">
      <c r="A89" s="68">
        <v>75</v>
      </c>
      <c r="B89" s="73">
        <f t="shared" si="0"/>
        <v>24359.962457578171</v>
      </c>
      <c r="C89" s="73">
        <f t="shared" si="7"/>
        <v>5883.3722848474572</v>
      </c>
      <c r="D89" s="73">
        <f t="shared" si="1"/>
        <v>18476.590172730714</v>
      </c>
      <c r="E89" s="69">
        <f t="shared" si="12"/>
        <v>3511546.7807357432</v>
      </c>
      <c r="H89" s="68">
        <v>75</v>
      </c>
      <c r="I89" s="73">
        <f t="shared" si="15"/>
        <v>35088.763869785347</v>
      </c>
      <c r="J89" s="73">
        <f t="shared" si="16"/>
        <v>8474.5722092371398</v>
      </c>
      <c r="K89" s="73">
        <f t="shared" si="13"/>
        <v>26614.191660548207</v>
      </c>
      <c r="L89" s="69">
        <f t="shared" si="14"/>
        <v>5058129.1338817347</v>
      </c>
    </row>
    <row r="90" spans="1:12" ht="14.25" customHeight="1" x14ac:dyDescent="0.2">
      <c r="A90" s="68">
        <v>76</v>
      </c>
      <c r="B90" s="73">
        <f t="shared" si="0"/>
        <v>24359.962457578171</v>
      </c>
      <c r="C90" s="73">
        <f t="shared" si="7"/>
        <v>5852.5779678929057</v>
      </c>
      <c r="D90" s="73">
        <f t="shared" si="1"/>
        <v>18507.384489685264</v>
      </c>
      <c r="E90" s="69">
        <f t="shared" si="12"/>
        <v>3493039.3962460579</v>
      </c>
      <c r="H90" s="68">
        <v>76</v>
      </c>
      <c r="I90" s="73">
        <f t="shared" si="15"/>
        <v>35088.763869785347</v>
      </c>
      <c r="J90" s="73">
        <f t="shared" si="16"/>
        <v>8430.2152231362252</v>
      </c>
      <c r="K90" s="73">
        <f t="shared" si="13"/>
        <v>26658.54864664912</v>
      </c>
      <c r="L90" s="69">
        <f t="shared" si="14"/>
        <v>5031470.5852350853</v>
      </c>
    </row>
    <row r="91" spans="1:12" ht="14.25" customHeight="1" x14ac:dyDescent="0.2">
      <c r="A91" s="68">
        <v>77</v>
      </c>
      <c r="B91" s="73">
        <f t="shared" si="0"/>
        <v>24359.962457578171</v>
      </c>
      <c r="C91" s="73">
        <f t="shared" si="7"/>
        <v>5821.7323270767638</v>
      </c>
      <c r="D91" s="73">
        <f t="shared" si="1"/>
        <v>18538.230130501408</v>
      </c>
      <c r="E91" s="69">
        <f t="shared" si="12"/>
        <v>3474501.1661155564</v>
      </c>
      <c r="H91" s="68">
        <v>77</v>
      </c>
      <c r="I91" s="73">
        <f t="shared" si="15"/>
        <v>35088.763869785347</v>
      </c>
      <c r="J91" s="73">
        <f t="shared" si="16"/>
        <v>8385.7843087251422</v>
      </c>
      <c r="K91" s="73">
        <f t="shared" si="13"/>
        <v>26702.979561060205</v>
      </c>
      <c r="L91" s="69">
        <f t="shared" si="14"/>
        <v>5004767.6056740247</v>
      </c>
    </row>
    <row r="92" spans="1:12" ht="14.25" customHeight="1" x14ac:dyDescent="0.2">
      <c r="A92" s="68">
        <v>78</v>
      </c>
      <c r="B92" s="73">
        <f t="shared" si="0"/>
        <v>24359.962457578171</v>
      </c>
      <c r="C92" s="73">
        <f t="shared" si="7"/>
        <v>5790.8352768592613</v>
      </c>
      <c r="D92" s="73">
        <f t="shared" si="1"/>
        <v>18569.127180718911</v>
      </c>
      <c r="E92" s="69">
        <f t="shared" si="12"/>
        <v>3455932.0389348376</v>
      </c>
      <c r="H92" s="68">
        <v>78</v>
      </c>
      <c r="I92" s="73">
        <f t="shared" si="15"/>
        <v>35088.763869785347</v>
      </c>
      <c r="J92" s="73">
        <f t="shared" si="16"/>
        <v>8341.2793427900415</v>
      </c>
      <c r="K92" s="73">
        <f t="shared" si="13"/>
        <v>26747.484526995308</v>
      </c>
      <c r="L92" s="69">
        <f t="shared" si="14"/>
        <v>4978020.1211470291</v>
      </c>
    </row>
    <row r="93" spans="1:12" ht="14.25" customHeight="1" x14ac:dyDescent="0.2">
      <c r="A93" s="68">
        <v>79</v>
      </c>
      <c r="B93" s="73">
        <f t="shared" si="0"/>
        <v>24359.962457578171</v>
      </c>
      <c r="C93" s="73">
        <f t="shared" si="7"/>
        <v>5759.8867315580628</v>
      </c>
      <c r="D93" s="73">
        <f t="shared" si="1"/>
        <v>18600.075726020106</v>
      </c>
      <c r="E93" s="69">
        <f t="shared" si="12"/>
        <v>3437331.9632088174</v>
      </c>
      <c r="H93" s="68">
        <v>79</v>
      </c>
      <c r="I93" s="73">
        <f t="shared" si="15"/>
        <v>35088.763869785347</v>
      </c>
      <c r="J93" s="73">
        <f t="shared" si="16"/>
        <v>8296.7002019117153</v>
      </c>
      <c r="K93" s="73">
        <f t="shared" si="13"/>
        <v>26792.063667873634</v>
      </c>
      <c r="L93" s="69">
        <f t="shared" si="14"/>
        <v>4951228.0574791552</v>
      </c>
    </row>
    <row r="94" spans="1:12" ht="14.25" customHeight="1" x14ac:dyDescent="0.2">
      <c r="A94" s="68">
        <v>80</v>
      </c>
      <c r="B94" s="73">
        <f t="shared" si="0"/>
        <v>24359.962457578171</v>
      </c>
      <c r="C94" s="73">
        <f t="shared" si="7"/>
        <v>5728.8866053480297</v>
      </c>
      <c r="D94" s="73">
        <f t="shared" si="1"/>
        <v>18631.07585223014</v>
      </c>
      <c r="E94" s="69">
        <f t="shared" si="12"/>
        <v>3418700.8873565872</v>
      </c>
      <c r="H94" s="68">
        <v>80</v>
      </c>
      <c r="I94" s="73">
        <f t="shared" si="15"/>
        <v>35088.763869785347</v>
      </c>
      <c r="J94" s="73">
        <f t="shared" si="16"/>
        <v>8252.0467624652592</v>
      </c>
      <c r="K94" s="73">
        <f t="shared" si="13"/>
        <v>26836.717107320088</v>
      </c>
      <c r="L94" s="69">
        <f t="shared" si="14"/>
        <v>4924391.340371835</v>
      </c>
    </row>
    <row r="95" spans="1:12" ht="14.25" customHeight="1" x14ac:dyDescent="0.2">
      <c r="A95" s="68">
        <v>81</v>
      </c>
      <c r="B95" s="73">
        <f t="shared" si="0"/>
        <v>24359.962457578171</v>
      </c>
      <c r="C95" s="73">
        <f t="shared" si="7"/>
        <v>5697.8348122609787</v>
      </c>
      <c r="D95" s="73">
        <f t="shared" si="1"/>
        <v>18662.127645317192</v>
      </c>
      <c r="E95" s="69">
        <f t="shared" si="12"/>
        <v>3400038.7597112702</v>
      </c>
      <c r="H95" s="68">
        <v>81</v>
      </c>
      <c r="I95" s="73">
        <f t="shared" si="15"/>
        <v>35088.763869785347</v>
      </c>
      <c r="J95" s="73">
        <f t="shared" si="16"/>
        <v>8207.3189006197263</v>
      </c>
      <c r="K95" s="73">
        <f t="shared" si="13"/>
        <v>26881.444969165619</v>
      </c>
      <c r="L95" s="69">
        <f t="shared" si="14"/>
        <v>4897509.895402669</v>
      </c>
    </row>
    <row r="96" spans="1:12" ht="14.25" customHeight="1" x14ac:dyDescent="0.2">
      <c r="A96" s="68">
        <v>82</v>
      </c>
      <c r="B96" s="73">
        <f t="shared" si="0"/>
        <v>24359.962457578171</v>
      </c>
      <c r="C96" s="73">
        <f t="shared" si="7"/>
        <v>5666.7312661854503</v>
      </c>
      <c r="D96" s="73">
        <f t="shared" si="1"/>
        <v>18693.231191392719</v>
      </c>
      <c r="E96" s="69">
        <f t="shared" si="12"/>
        <v>3381345.5285198777</v>
      </c>
      <c r="H96" s="68">
        <v>82</v>
      </c>
      <c r="I96" s="73">
        <f t="shared" si="15"/>
        <v>35088.763869785347</v>
      </c>
      <c r="J96" s="73">
        <f t="shared" si="16"/>
        <v>8162.5164923377824</v>
      </c>
      <c r="K96" s="73">
        <f t="shared" si="13"/>
        <v>26926.247377447566</v>
      </c>
      <c r="L96" s="69">
        <f t="shared" si="14"/>
        <v>4870583.6480252212</v>
      </c>
    </row>
    <row r="97" spans="1:12" ht="14.25" customHeight="1" x14ac:dyDescent="0.2">
      <c r="A97" s="68">
        <v>83</v>
      </c>
      <c r="B97" s="73">
        <f t="shared" si="0"/>
        <v>24359.962457578171</v>
      </c>
      <c r="C97" s="73">
        <f t="shared" si="7"/>
        <v>5635.5758808664632</v>
      </c>
      <c r="D97" s="73">
        <f t="shared" si="1"/>
        <v>18724.386576711709</v>
      </c>
      <c r="E97" s="69">
        <f t="shared" si="12"/>
        <v>3362621.141943166</v>
      </c>
      <c r="H97" s="68">
        <v>83</v>
      </c>
      <c r="I97" s="73">
        <f t="shared" si="15"/>
        <v>35088.763869785347</v>
      </c>
      <c r="J97" s="73">
        <f t="shared" si="16"/>
        <v>8117.6394133753693</v>
      </c>
      <c r="K97" s="73">
        <f t="shared" si="13"/>
        <v>26971.124456409976</v>
      </c>
      <c r="L97" s="69">
        <f t="shared" si="14"/>
        <v>4843612.5235688109</v>
      </c>
    </row>
    <row r="98" spans="1:12" ht="14.25" customHeight="1" x14ac:dyDescent="0.2">
      <c r="A98" s="68">
        <v>84</v>
      </c>
      <c r="B98" s="73">
        <f t="shared" si="0"/>
        <v>24359.962457578171</v>
      </c>
      <c r="C98" s="73">
        <f t="shared" si="7"/>
        <v>5604.3685699052767</v>
      </c>
      <c r="D98" s="73">
        <f t="shared" si="1"/>
        <v>18755.593887672894</v>
      </c>
      <c r="E98" s="69">
        <f t="shared" si="12"/>
        <v>3343865.5480554933</v>
      </c>
      <c r="H98" s="68">
        <v>84</v>
      </c>
      <c r="I98" s="73">
        <f t="shared" si="15"/>
        <v>35088.763869785347</v>
      </c>
      <c r="J98" s="73">
        <f t="shared" si="16"/>
        <v>8072.6875392813517</v>
      </c>
      <c r="K98" s="73">
        <f t="shared" si="13"/>
        <v>27016.076330503995</v>
      </c>
      <c r="L98" s="69">
        <f t="shared" si="14"/>
        <v>4816596.4472383065</v>
      </c>
    </row>
    <row r="99" spans="1:12" ht="14.25" customHeight="1" x14ac:dyDescent="0.2">
      <c r="A99" s="68">
        <v>85</v>
      </c>
      <c r="B99" s="73">
        <f t="shared" si="0"/>
        <v>24359.962457578171</v>
      </c>
      <c r="C99" s="73">
        <f t="shared" si="7"/>
        <v>5573.1092467591561</v>
      </c>
      <c r="D99" s="73">
        <f t="shared" si="1"/>
        <v>18786.853210819016</v>
      </c>
      <c r="E99" s="69">
        <f t="shared" si="12"/>
        <v>3325078.6948446743</v>
      </c>
      <c r="H99" s="68">
        <v>85</v>
      </c>
      <c r="I99" s="73">
        <f t="shared" si="15"/>
        <v>35088.763869785347</v>
      </c>
      <c r="J99" s="73">
        <f t="shared" si="16"/>
        <v>8027.6607453971783</v>
      </c>
      <c r="K99" s="73">
        <f t="shared" si="13"/>
        <v>27061.10312438817</v>
      </c>
      <c r="L99" s="69">
        <f t="shared" si="14"/>
        <v>4789535.344113918</v>
      </c>
    </row>
    <row r="100" spans="1:12" ht="14.25" customHeight="1" x14ac:dyDescent="0.2">
      <c r="A100" s="68">
        <v>86</v>
      </c>
      <c r="B100" s="73">
        <f t="shared" si="0"/>
        <v>24359.962457578171</v>
      </c>
      <c r="C100" s="73">
        <f t="shared" si="7"/>
        <v>5541.7978247411238</v>
      </c>
      <c r="D100" s="73">
        <f t="shared" si="1"/>
        <v>18818.164632837048</v>
      </c>
      <c r="E100" s="69">
        <f t="shared" si="12"/>
        <v>3306260.5302118375</v>
      </c>
      <c r="H100" s="68">
        <v>86</v>
      </c>
      <c r="I100" s="73">
        <f t="shared" si="15"/>
        <v>35088.763869785347</v>
      </c>
      <c r="J100" s="73">
        <f t="shared" si="16"/>
        <v>7982.5589068565305</v>
      </c>
      <c r="K100" s="73">
        <f t="shared" si="13"/>
        <v>27106.204962928816</v>
      </c>
      <c r="L100" s="69">
        <f t="shared" si="14"/>
        <v>4762429.1391509892</v>
      </c>
    </row>
    <row r="101" spans="1:12" ht="14.25" customHeight="1" x14ac:dyDescent="0.2">
      <c r="A101" s="68">
        <v>87</v>
      </c>
      <c r="B101" s="73">
        <f t="shared" si="0"/>
        <v>24359.962457578171</v>
      </c>
      <c r="C101" s="73">
        <f t="shared" si="7"/>
        <v>5510.4342170197297</v>
      </c>
      <c r="D101" s="73">
        <f t="shared" si="1"/>
        <v>18849.52824055844</v>
      </c>
      <c r="E101" s="69">
        <f t="shared" si="12"/>
        <v>3287411.0019712793</v>
      </c>
      <c r="H101" s="68">
        <v>87</v>
      </c>
      <c r="I101" s="73">
        <f t="shared" si="15"/>
        <v>35088.763869785347</v>
      </c>
      <c r="J101" s="73">
        <f t="shared" si="16"/>
        <v>7937.381898584983</v>
      </c>
      <c r="K101" s="73">
        <f t="shared" si="13"/>
        <v>27151.381971200364</v>
      </c>
      <c r="L101" s="69">
        <f t="shared" si="14"/>
        <v>4735277.7571797892</v>
      </c>
    </row>
    <row r="102" spans="1:12" ht="14.25" customHeight="1" x14ac:dyDescent="0.2">
      <c r="A102" s="68">
        <v>88</v>
      </c>
      <c r="B102" s="73">
        <f t="shared" si="0"/>
        <v>24359.962457578171</v>
      </c>
      <c r="C102" s="73">
        <f t="shared" si="7"/>
        <v>5479.0183366187994</v>
      </c>
      <c r="D102" s="73">
        <f t="shared" si="1"/>
        <v>18880.944120959372</v>
      </c>
      <c r="E102" s="69">
        <f t="shared" si="12"/>
        <v>3268530.0578503199</v>
      </c>
      <c r="H102" s="68">
        <v>88</v>
      </c>
      <c r="I102" s="73">
        <f t="shared" si="15"/>
        <v>35088.763869785347</v>
      </c>
      <c r="J102" s="73">
        <f t="shared" si="16"/>
        <v>7892.1295952996488</v>
      </c>
      <c r="K102" s="73">
        <f t="shared" si="13"/>
        <v>27196.634274485699</v>
      </c>
      <c r="L102" s="69">
        <f t="shared" si="14"/>
        <v>4708081.1229053037</v>
      </c>
    </row>
    <row r="103" spans="1:12" ht="14.25" customHeight="1" x14ac:dyDescent="0.2">
      <c r="A103" s="68">
        <v>89</v>
      </c>
      <c r="B103" s="73">
        <f t="shared" si="0"/>
        <v>24359.962457578171</v>
      </c>
      <c r="C103" s="73">
        <f t="shared" si="7"/>
        <v>5447.5500964172006</v>
      </c>
      <c r="D103" s="73">
        <f t="shared" si="1"/>
        <v>18912.412361160968</v>
      </c>
      <c r="E103" s="69">
        <f t="shared" si="12"/>
        <v>3249617.645489159</v>
      </c>
      <c r="H103" s="68">
        <v>89</v>
      </c>
      <c r="I103" s="73">
        <f t="shared" si="15"/>
        <v>35088.763869785347</v>
      </c>
      <c r="J103" s="73">
        <f t="shared" si="16"/>
        <v>7846.8018715088401</v>
      </c>
      <c r="K103" s="73">
        <f t="shared" si="13"/>
        <v>27241.961998276507</v>
      </c>
      <c r="L103" s="69">
        <f t="shared" si="14"/>
        <v>4680839.1609070273</v>
      </c>
    </row>
    <row r="104" spans="1:12" ht="14.25" customHeight="1" x14ac:dyDescent="0.2">
      <c r="A104" s="68">
        <v>90</v>
      </c>
      <c r="B104" s="73">
        <f t="shared" si="0"/>
        <v>24359.962457578171</v>
      </c>
      <c r="C104" s="73">
        <f t="shared" si="7"/>
        <v>5416.0294091485985</v>
      </c>
      <c r="D104" s="73">
        <f t="shared" si="1"/>
        <v>18943.933048429571</v>
      </c>
      <c r="E104" s="69">
        <f t="shared" si="12"/>
        <v>3230673.7124407296</v>
      </c>
      <c r="H104" s="68">
        <v>90</v>
      </c>
      <c r="I104" s="73">
        <f t="shared" si="15"/>
        <v>35088.763869785347</v>
      </c>
      <c r="J104" s="73">
        <f t="shared" si="16"/>
        <v>7801.3986015117125</v>
      </c>
      <c r="K104" s="73">
        <f t="shared" si="13"/>
        <v>27287.365268273636</v>
      </c>
      <c r="L104" s="69">
        <f t="shared" si="14"/>
        <v>4653551.795638754</v>
      </c>
    </row>
    <row r="105" spans="1:12" ht="14.25" customHeight="1" x14ac:dyDescent="0.2">
      <c r="A105" s="68">
        <v>91</v>
      </c>
      <c r="B105" s="73">
        <f t="shared" si="0"/>
        <v>24359.962457578171</v>
      </c>
      <c r="C105" s="73">
        <f t="shared" si="7"/>
        <v>5384.4561874012161</v>
      </c>
      <c r="D105" s="73">
        <f t="shared" si="1"/>
        <v>18975.506270176957</v>
      </c>
      <c r="E105" s="69">
        <f t="shared" si="12"/>
        <v>3211698.2061705529</v>
      </c>
      <c r="H105" s="68">
        <v>91</v>
      </c>
      <c r="I105" s="73">
        <f t="shared" si="15"/>
        <v>35088.763869785347</v>
      </c>
      <c r="J105" s="73">
        <f t="shared" si="16"/>
        <v>7755.9196593979241</v>
      </c>
      <c r="K105" s="73">
        <f t="shared" si="13"/>
        <v>27332.844210387422</v>
      </c>
      <c r="L105" s="69">
        <f t="shared" si="14"/>
        <v>4626218.9514283668</v>
      </c>
    </row>
    <row r="106" spans="1:12" ht="14.25" customHeight="1" x14ac:dyDescent="0.2">
      <c r="A106" s="68">
        <v>92</v>
      </c>
      <c r="B106" s="73">
        <f t="shared" si="0"/>
        <v>24359.962457578171</v>
      </c>
      <c r="C106" s="73">
        <f t="shared" si="7"/>
        <v>5352.8303436175884</v>
      </c>
      <c r="D106" s="73">
        <f t="shared" si="1"/>
        <v>19007.132113960583</v>
      </c>
      <c r="E106" s="69">
        <f t="shared" si="12"/>
        <v>3192691.0740565923</v>
      </c>
      <c r="H106" s="68">
        <v>92</v>
      </c>
      <c r="I106" s="73">
        <f t="shared" si="15"/>
        <v>35088.763869785347</v>
      </c>
      <c r="J106" s="73">
        <f t="shared" si="16"/>
        <v>7710.3649190472788</v>
      </c>
      <c r="K106" s="73">
        <f t="shared" si="13"/>
        <v>27378.398950738068</v>
      </c>
      <c r="L106" s="69">
        <f t="shared" si="14"/>
        <v>4598840.5524776289</v>
      </c>
    </row>
    <row r="107" spans="1:12" ht="14.25" customHeight="1" x14ac:dyDescent="0.2">
      <c r="A107" s="68">
        <v>93</v>
      </c>
      <c r="B107" s="73">
        <f t="shared" si="0"/>
        <v>24359.962457578171</v>
      </c>
      <c r="C107" s="73">
        <f t="shared" si="7"/>
        <v>5321.1517900943209</v>
      </c>
      <c r="D107" s="73">
        <f t="shared" si="1"/>
        <v>19038.810667483849</v>
      </c>
      <c r="E107" s="69">
        <f t="shared" si="12"/>
        <v>3173652.2633891082</v>
      </c>
      <c r="H107" s="68">
        <v>93</v>
      </c>
      <c r="I107" s="73">
        <f t="shared" si="15"/>
        <v>35088.763869785347</v>
      </c>
      <c r="J107" s="73">
        <f t="shared" si="16"/>
        <v>7664.734254129382</v>
      </c>
      <c r="K107" s="73">
        <f t="shared" si="13"/>
        <v>27424.029615655963</v>
      </c>
      <c r="L107" s="69">
        <f t="shared" si="14"/>
        <v>4571416.5228619734</v>
      </c>
    </row>
    <row r="108" spans="1:12" ht="14.25" customHeight="1" x14ac:dyDescent="0.2">
      <c r="A108" s="68">
        <v>94</v>
      </c>
      <c r="B108" s="73">
        <f t="shared" si="0"/>
        <v>24359.962457578171</v>
      </c>
      <c r="C108" s="73">
        <f t="shared" si="7"/>
        <v>5289.4204389818478</v>
      </c>
      <c r="D108" s="73">
        <f t="shared" si="1"/>
        <v>19070.542018596323</v>
      </c>
      <c r="E108" s="69">
        <f t="shared" si="12"/>
        <v>3154581.7213705117</v>
      </c>
      <c r="H108" s="68">
        <v>94</v>
      </c>
      <c r="I108" s="73">
        <f t="shared" si="15"/>
        <v>35088.763869785347</v>
      </c>
      <c r="J108" s="73">
        <f t="shared" si="16"/>
        <v>7619.0275381032898</v>
      </c>
      <c r="K108" s="73">
        <f t="shared" si="13"/>
        <v>27469.736331682056</v>
      </c>
      <c r="L108" s="69">
        <f t="shared" si="14"/>
        <v>4543946.7865302917</v>
      </c>
    </row>
    <row r="109" spans="1:12" ht="14.25" customHeight="1" x14ac:dyDescent="0.2">
      <c r="A109" s="68">
        <v>95</v>
      </c>
      <c r="B109" s="73">
        <f t="shared" si="0"/>
        <v>24359.962457578171</v>
      </c>
      <c r="C109" s="73">
        <f t="shared" si="7"/>
        <v>5257.6362022841868</v>
      </c>
      <c r="D109" s="73">
        <f t="shared" si="1"/>
        <v>19102.326255293985</v>
      </c>
      <c r="E109" s="69">
        <f t="shared" si="12"/>
        <v>3135479.3951152177</v>
      </c>
      <c r="H109" s="68">
        <v>95</v>
      </c>
      <c r="I109" s="73">
        <f t="shared" si="15"/>
        <v>35088.763869785347</v>
      </c>
      <c r="J109" s="73">
        <f t="shared" si="16"/>
        <v>7573.2446442171531</v>
      </c>
      <c r="K109" s="73">
        <f t="shared" si="13"/>
        <v>27515.519225568194</v>
      </c>
      <c r="L109" s="69">
        <f t="shared" si="14"/>
        <v>4516431.2673047232</v>
      </c>
    </row>
    <row r="110" spans="1:12" ht="14.25" customHeight="1" x14ac:dyDescent="0.2">
      <c r="A110" s="68">
        <v>96</v>
      </c>
      <c r="B110" s="73">
        <f t="shared" si="0"/>
        <v>24359.962457578171</v>
      </c>
      <c r="C110" s="73">
        <f t="shared" si="7"/>
        <v>5225.7989918586964</v>
      </c>
      <c r="D110" s="73">
        <f t="shared" si="1"/>
        <v>19134.163465719474</v>
      </c>
      <c r="E110" s="69">
        <f t="shared" si="12"/>
        <v>3116345.231649498</v>
      </c>
      <c r="H110" s="68">
        <v>96</v>
      </c>
      <c r="I110" s="73">
        <f t="shared" si="15"/>
        <v>35088.763869785347</v>
      </c>
      <c r="J110" s="73">
        <f t="shared" si="16"/>
        <v>7527.3854455078726</v>
      </c>
      <c r="K110" s="73">
        <f t="shared" si="13"/>
        <v>27561.378424277475</v>
      </c>
      <c r="L110" s="69">
        <f t="shared" si="14"/>
        <v>4488869.8888804456</v>
      </c>
    </row>
    <row r="111" spans="1:12" ht="14.25" customHeight="1" x14ac:dyDescent="0.2">
      <c r="A111" s="68">
        <v>97</v>
      </c>
      <c r="B111" s="73">
        <f t="shared" si="0"/>
        <v>24359.962457578171</v>
      </c>
      <c r="C111" s="73">
        <f t="shared" si="7"/>
        <v>5193.9087194158301</v>
      </c>
      <c r="D111" s="73">
        <f t="shared" si="1"/>
        <v>19166.05373816234</v>
      </c>
      <c r="E111" s="69">
        <f t="shared" si="12"/>
        <v>3097179.1779113356</v>
      </c>
      <c r="H111" s="68">
        <v>97</v>
      </c>
      <c r="I111" s="73">
        <f t="shared" si="15"/>
        <v>35088.763869785347</v>
      </c>
      <c r="J111" s="73">
        <f t="shared" si="16"/>
        <v>7481.4498148007433</v>
      </c>
      <c r="K111" s="73">
        <f t="shared" si="13"/>
        <v>27607.314054984603</v>
      </c>
      <c r="L111" s="69">
        <f t="shared" si="14"/>
        <v>4461262.574825461</v>
      </c>
    </row>
    <row r="112" spans="1:12" ht="14.25" customHeight="1" x14ac:dyDescent="0.2">
      <c r="A112" s="68">
        <v>98</v>
      </c>
      <c r="B112" s="73">
        <f t="shared" si="0"/>
        <v>24359.962457578171</v>
      </c>
      <c r="C112" s="73">
        <f t="shared" si="7"/>
        <v>5161.9652965188934</v>
      </c>
      <c r="D112" s="73">
        <f t="shared" si="1"/>
        <v>19197.997161059277</v>
      </c>
      <c r="E112" s="69">
        <f t="shared" si="12"/>
        <v>3077981.1807502764</v>
      </c>
      <c r="H112" s="68">
        <v>98</v>
      </c>
      <c r="I112" s="73">
        <f t="shared" si="15"/>
        <v>35088.763869785347</v>
      </c>
      <c r="J112" s="73">
        <f t="shared" si="16"/>
        <v>7435.4376247091022</v>
      </c>
      <c r="K112" s="73">
        <f t="shared" si="13"/>
        <v>27653.326245076245</v>
      </c>
      <c r="L112" s="69">
        <f t="shared" si="14"/>
        <v>4433609.248580385</v>
      </c>
    </row>
    <row r="113" spans="1:12" ht="14.25" customHeight="1" x14ac:dyDescent="0.2">
      <c r="A113" s="68">
        <v>99</v>
      </c>
      <c r="B113" s="73">
        <f t="shared" si="0"/>
        <v>24359.962457578171</v>
      </c>
      <c r="C113" s="73">
        <f t="shared" si="7"/>
        <v>5129.9686345837945</v>
      </c>
      <c r="D113" s="73">
        <f t="shared" si="1"/>
        <v>19229.993822994376</v>
      </c>
      <c r="E113" s="69">
        <f t="shared" si="12"/>
        <v>3058751.1869272823</v>
      </c>
      <c r="H113" s="68">
        <v>99</v>
      </c>
      <c r="I113" s="73">
        <f t="shared" si="15"/>
        <v>35088.763869785347</v>
      </c>
      <c r="J113" s="73">
        <f t="shared" si="16"/>
        <v>7389.3487476339751</v>
      </c>
      <c r="K113" s="73">
        <f t="shared" si="13"/>
        <v>27699.415122151371</v>
      </c>
      <c r="L113" s="69">
        <f t="shared" si="14"/>
        <v>4405909.8334582336</v>
      </c>
    </row>
    <row r="114" spans="1:12" ht="14.25" customHeight="1" x14ac:dyDescent="0.2">
      <c r="A114" s="68">
        <v>100</v>
      </c>
      <c r="B114" s="73">
        <f t="shared" si="0"/>
        <v>24359.962457578171</v>
      </c>
      <c r="C114" s="73">
        <f t="shared" si="7"/>
        <v>5097.9186448788041</v>
      </c>
      <c r="D114" s="73">
        <f t="shared" si="1"/>
        <v>19262.043812699369</v>
      </c>
      <c r="E114" s="69">
        <f t="shared" si="12"/>
        <v>3039489.1431145831</v>
      </c>
      <c r="H114" s="68">
        <v>100</v>
      </c>
      <c r="I114" s="73">
        <f t="shared" si="15"/>
        <v>35088.763869785347</v>
      </c>
      <c r="J114" s="73">
        <f t="shared" si="16"/>
        <v>7343.1830557637231</v>
      </c>
      <c r="K114" s="73">
        <f t="shared" si="13"/>
        <v>27745.580814021625</v>
      </c>
      <c r="L114" s="69">
        <f t="shared" si="14"/>
        <v>4378164.252644212</v>
      </c>
    </row>
    <row r="115" spans="1:12" ht="14.25" customHeight="1" x14ac:dyDescent="0.2">
      <c r="A115" s="68">
        <v>101</v>
      </c>
      <c r="B115" s="73">
        <f t="shared" si="0"/>
        <v>24359.962457578171</v>
      </c>
      <c r="C115" s="73">
        <f t="shared" si="7"/>
        <v>5065.8152385243056</v>
      </c>
      <c r="D115" s="73">
        <f t="shared" si="1"/>
        <v>19294.147219053866</v>
      </c>
      <c r="E115" s="69">
        <f t="shared" si="12"/>
        <v>3020194.9958955292</v>
      </c>
      <c r="H115" s="68">
        <v>101</v>
      </c>
      <c r="I115" s="73">
        <f t="shared" si="15"/>
        <v>35088.763869785347</v>
      </c>
      <c r="J115" s="73">
        <f t="shared" si="16"/>
        <v>7296.9404210736875</v>
      </c>
      <c r="K115" s="73">
        <f t="shared" si="13"/>
        <v>27791.823448711661</v>
      </c>
      <c r="L115" s="69">
        <f t="shared" si="14"/>
        <v>4350372.4291955</v>
      </c>
    </row>
    <row r="116" spans="1:12" ht="14.25" customHeight="1" x14ac:dyDescent="0.2">
      <c r="A116" s="68">
        <v>102</v>
      </c>
      <c r="B116" s="73">
        <f t="shared" si="0"/>
        <v>24359.962457578171</v>
      </c>
      <c r="C116" s="73">
        <f t="shared" si="7"/>
        <v>5033.6583264925493</v>
      </c>
      <c r="D116" s="73">
        <f t="shared" si="1"/>
        <v>19326.304131085621</v>
      </c>
      <c r="E116" s="69">
        <f t="shared" si="12"/>
        <v>3000868.6917644436</v>
      </c>
      <c r="H116" s="68">
        <v>102</v>
      </c>
      <c r="I116" s="73">
        <f t="shared" si="15"/>
        <v>35088.763869785347</v>
      </c>
      <c r="J116" s="73">
        <f t="shared" si="16"/>
        <v>7250.6207153258338</v>
      </c>
      <c r="K116" s="73">
        <f t="shared" si="13"/>
        <v>27838.143154459514</v>
      </c>
      <c r="L116" s="69">
        <f t="shared" si="14"/>
        <v>4322534.2860410409</v>
      </c>
    </row>
    <row r="117" spans="1:12" ht="14.25" customHeight="1" x14ac:dyDescent="0.2">
      <c r="A117" s="68">
        <v>103</v>
      </c>
      <c r="B117" s="73">
        <f t="shared" si="0"/>
        <v>24359.962457578171</v>
      </c>
      <c r="C117" s="73">
        <f t="shared" si="7"/>
        <v>5001.447819607406</v>
      </c>
      <c r="D117" s="73">
        <f t="shared" si="1"/>
        <v>19358.514637970766</v>
      </c>
      <c r="E117" s="69">
        <f t="shared" si="12"/>
        <v>2981510.1771264728</v>
      </c>
      <c r="H117" s="68">
        <v>103</v>
      </c>
      <c r="I117" s="73">
        <f t="shared" si="15"/>
        <v>35088.763869785347</v>
      </c>
      <c r="J117" s="73">
        <f t="shared" si="16"/>
        <v>7204.2238100684017</v>
      </c>
      <c r="K117" s="73">
        <f t="shared" si="13"/>
        <v>27884.540059716946</v>
      </c>
      <c r="L117" s="69">
        <f t="shared" si="14"/>
        <v>4294649.7459813235</v>
      </c>
    </row>
    <row r="118" spans="1:12" ht="14.25" customHeight="1" x14ac:dyDescent="0.2">
      <c r="A118" s="68">
        <v>104</v>
      </c>
      <c r="B118" s="73">
        <f t="shared" si="0"/>
        <v>24359.962457578171</v>
      </c>
      <c r="C118" s="73">
        <f t="shared" si="7"/>
        <v>4969.1836285441213</v>
      </c>
      <c r="D118" s="73">
        <f t="shared" si="1"/>
        <v>19390.77882903405</v>
      </c>
      <c r="E118" s="69">
        <f t="shared" si="12"/>
        <v>2962119.3982974389</v>
      </c>
      <c r="H118" s="68">
        <v>104</v>
      </c>
      <c r="I118" s="73">
        <f t="shared" si="15"/>
        <v>35088.763869785347</v>
      </c>
      <c r="J118" s="73">
        <f t="shared" si="16"/>
        <v>7157.7495766355396</v>
      </c>
      <c r="K118" s="73">
        <f t="shared" si="13"/>
        <v>27931.014293149809</v>
      </c>
      <c r="L118" s="69">
        <f t="shared" si="14"/>
        <v>4266718.7316881735</v>
      </c>
    </row>
    <row r="119" spans="1:12" ht="14.25" customHeight="1" x14ac:dyDescent="0.2">
      <c r="A119" s="68">
        <v>105</v>
      </c>
      <c r="B119" s="73">
        <f t="shared" si="0"/>
        <v>24359.962457578171</v>
      </c>
      <c r="C119" s="73">
        <f t="shared" si="7"/>
        <v>4936.8656638290649</v>
      </c>
      <c r="D119" s="73">
        <f t="shared" si="1"/>
        <v>19423.096793749108</v>
      </c>
      <c r="E119" s="69">
        <f t="shared" si="12"/>
        <v>2942696.30150369</v>
      </c>
      <c r="H119" s="68">
        <v>105</v>
      </c>
      <c r="I119" s="73">
        <f t="shared" si="15"/>
        <v>35088.763869785347</v>
      </c>
      <c r="J119" s="73">
        <f t="shared" si="16"/>
        <v>7111.1978861469561</v>
      </c>
      <c r="K119" s="73">
        <f t="shared" si="13"/>
        <v>27977.565983638393</v>
      </c>
      <c r="L119" s="69">
        <f t="shared" si="14"/>
        <v>4238741.1657045353</v>
      </c>
    </row>
    <row r="120" spans="1:12" ht="14.25" customHeight="1" x14ac:dyDescent="0.2">
      <c r="A120" s="68">
        <v>106</v>
      </c>
      <c r="B120" s="73">
        <f t="shared" si="0"/>
        <v>24359.962457578171</v>
      </c>
      <c r="C120" s="73">
        <f t="shared" si="7"/>
        <v>4904.4938358394838</v>
      </c>
      <c r="D120" s="73">
        <f t="shared" si="1"/>
        <v>19455.468621738688</v>
      </c>
      <c r="E120" s="69">
        <f t="shared" si="12"/>
        <v>2923240.8328819512</v>
      </c>
      <c r="H120" s="68">
        <v>106</v>
      </c>
      <c r="I120" s="73">
        <f t="shared" si="15"/>
        <v>35088.763869785347</v>
      </c>
      <c r="J120" s="73">
        <f t="shared" si="16"/>
        <v>7064.5686095075589</v>
      </c>
      <c r="K120" s="73">
        <f t="shared" si="13"/>
        <v>28024.195260277789</v>
      </c>
      <c r="L120" s="69">
        <f t="shared" si="14"/>
        <v>4210716.9704442574</v>
      </c>
    </row>
    <row r="121" spans="1:12" ht="14.25" customHeight="1" x14ac:dyDescent="0.2">
      <c r="A121" s="68">
        <v>107</v>
      </c>
      <c r="B121" s="73">
        <f t="shared" si="0"/>
        <v>24359.962457578171</v>
      </c>
      <c r="C121" s="73">
        <f t="shared" si="7"/>
        <v>4872.0680548032524</v>
      </c>
      <c r="D121" s="73">
        <f t="shared" si="1"/>
        <v>19487.894402774917</v>
      </c>
      <c r="E121" s="69">
        <f t="shared" si="12"/>
        <v>2903752.9384791763</v>
      </c>
      <c r="H121" s="68">
        <v>107</v>
      </c>
      <c r="I121" s="73">
        <f t="shared" si="15"/>
        <v>35088.763869785347</v>
      </c>
      <c r="J121" s="73">
        <f t="shared" si="16"/>
        <v>7017.8616174070958</v>
      </c>
      <c r="K121" s="73">
        <f t="shared" si="13"/>
        <v>28070.902252378251</v>
      </c>
      <c r="L121" s="69">
        <f t="shared" si="14"/>
        <v>4182646.068191879</v>
      </c>
    </row>
    <row r="122" spans="1:12" ht="14.25" customHeight="1" x14ac:dyDescent="0.2">
      <c r="A122" s="68">
        <v>108</v>
      </c>
      <c r="B122" s="73">
        <f t="shared" si="0"/>
        <v>24359.962457578171</v>
      </c>
      <c r="C122" s="73">
        <f t="shared" si="7"/>
        <v>4839.5882307986276</v>
      </c>
      <c r="D122" s="73">
        <f t="shared" si="1"/>
        <v>19520.374226779542</v>
      </c>
      <c r="E122" s="69">
        <f t="shared" si="12"/>
        <v>2884232.5642523966</v>
      </c>
      <c r="H122" s="68">
        <v>108</v>
      </c>
      <c r="I122" s="73">
        <f t="shared" si="15"/>
        <v>35088.763869785347</v>
      </c>
      <c r="J122" s="73">
        <f t="shared" si="16"/>
        <v>6971.0767803197987</v>
      </c>
      <c r="K122" s="73">
        <f t="shared" si="13"/>
        <v>28117.687089465548</v>
      </c>
      <c r="L122" s="69">
        <f t="shared" si="14"/>
        <v>4154528.3811024134</v>
      </c>
    </row>
    <row r="123" spans="1:12" ht="14.25" customHeight="1" x14ac:dyDescent="0.2">
      <c r="A123" s="68">
        <v>109</v>
      </c>
      <c r="B123" s="73">
        <f t="shared" si="0"/>
        <v>24359.962457578171</v>
      </c>
      <c r="C123" s="73">
        <f t="shared" si="7"/>
        <v>4807.0542737539945</v>
      </c>
      <c r="D123" s="73">
        <f t="shared" si="1"/>
        <v>19552.908183824176</v>
      </c>
      <c r="E123" s="69">
        <f t="shared" si="12"/>
        <v>2864679.6560685723</v>
      </c>
      <c r="H123" s="68">
        <v>109</v>
      </c>
      <c r="I123" s="73">
        <f t="shared" si="15"/>
        <v>35088.763869785347</v>
      </c>
      <c r="J123" s="73">
        <f t="shared" si="16"/>
        <v>6924.2139685040229</v>
      </c>
      <c r="K123" s="73">
        <f t="shared" si="13"/>
        <v>28164.549901281323</v>
      </c>
      <c r="L123" s="69">
        <f t="shared" si="14"/>
        <v>4126363.8312011319</v>
      </c>
    </row>
    <row r="124" spans="1:12" ht="14.25" customHeight="1" x14ac:dyDescent="0.2">
      <c r="A124" s="68">
        <v>110</v>
      </c>
      <c r="B124" s="73">
        <f t="shared" si="0"/>
        <v>24359.962457578171</v>
      </c>
      <c r="C124" s="73">
        <f t="shared" si="7"/>
        <v>4774.4660934476206</v>
      </c>
      <c r="D124" s="73">
        <f t="shared" si="1"/>
        <v>19585.496364130551</v>
      </c>
      <c r="E124" s="69">
        <f t="shared" si="12"/>
        <v>2845094.1597044417</v>
      </c>
      <c r="H124" s="68">
        <v>110</v>
      </c>
      <c r="I124" s="73">
        <f t="shared" si="15"/>
        <v>35088.763869785347</v>
      </c>
      <c r="J124" s="73">
        <f t="shared" si="16"/>
        <v>6877.2730520018868</v>
      </c>
      <c r="K124" s="73">
        <f t="shared" si="13"/>
        <v>28211.490817783459</v>
      </c>
      <c r="L124" s="69">
        <f t="shared" si="14"/>
        <v>4098152.3403833485</v>
      </c>
    </row>
    <row r="125" spans="1:12" ht="14.25" customHeight="1" x14ac:dyDescent="0.2">
      <c r="A125" s="68">
        <v>111</v>
      </c>
      <c r="B125" s="73">
        <f t="shared" si="0"/>
        <v>24359.962457578171</v>
      </c>
      <c r="C125" s="73">
        <f t="shared" si="7"/>
        <v>4741.8235995074028</v>
      </c>
      <c r="D125" s="73">
        <f t="shared" si="1"/>
        <v>19618.138858070768</v>
      </c>
      <c r="E125" s="69">
        <f t="shared" si="12"/>
        <v>2825476.0208463711</v>
      </c>
      <c r="H125" s="68">
        <v>111</v>
      </c>
      <c r="I125" s="73">
        <f t="shared" si="15"/>
        <v>35088.763869785347</v>
      </c>
      <c r="J125" s="73">
        <f t="shared" si="16"/>
        <v>6830.2539006389143</v>
      </c>
      <c r="K125" s="73">
        <f t="shared" si="13"/>
        <v>28258.509969146435</v>
      </c>
      <c r="L125" s="69">
        <f t="shared" si="14"/>
        <v>4069893.8304142021</v>
      </c>
    </row>
    <row r="126" spans="1:12" ht="14.25" customHeight="1" x14ac:dyDescent="0.2">
      <c r="A126" s="68">
        <v>112</v>
      </c>
      <c r="B126" s="73">
        <f t="shared" si="0"/>
        <v>24359.962457578171</v>
      </c>
      <c r="C126" s="73">
        <f t="shared" si="7"/>
        <v>4709.1267014106188</v>
      </c>
      <c r="D126" s="73">
        <f t="shared" si="1"/>
        <v>19650.835756167551</v>
      </c>
      <c r="E126" s="69">
        <f t="shared" si="12"/>
        <v>2805825.1850902033</v>
      </c>
      <c r="H126" s="68">
        <v>112</v>
      </c>
      <c r="I126" s="73">
        <f t="shared" si="15"/>
        <v>35088.763869785347</v>
      </c>
      <c r="J126" s="73">
        <f t="shared" si="16"/>
        <v>6783.1563840236704</v>
      </c>
      <c r="K126" s="73">
        <f t="shared" si="13"/>
        <v>28305.607485761677</v>
      </c>
      <c r="L126" s="69">
        <f t="shared" si="14"/>
        <v>4041588.2229284402</v>
      </c>
    </row>
    <row r="127" spans="1:12" ht="14.25" customHeight="1" x14ac:dyDescent="0.2">
      <c r="A127" s="68">
        <v>113</v>
      </c>
      <c r="B127" s="73">
        <f t="shared" si="0"/>
        <v>24359.962457578171</v>
      </c>
      <c r="C127" s="73">
        <f t="shared" si="7"/>
        <v>4676.3753084836726</v>
      </c>
      <c r="D127" s="73">
        <f t="shared" si="1"/>
        <v>19683.587149094499</v>
      </c>
      <c r="E127" s="69">
        <f t="shared" si="12"/>
        <v>2786141.597941109</v>
      </c>
      <c r="H127" s="68">
        <v>113</v>
      </c>
      <c r="I127" s="73">
        <f t="shared" si="15"/>
        <v>35088.763869785347</v>
      </c>
      <c r="J127" s="73">
        <f t="shared" si="16"/>
        <v>6735.9803715474009</v>
      </c>
      <c r="K127" s="73">
        <f t="shared" si="13"/>
        <v>28352.783498237946</v>
      </c>
      <c r="L127" s="69">
        <f t="shared" si="14"/>
        <v>4013235.4394302024</v>
      </c>
    </row>
    <row r="128" spans="1:12" ht="14.25" customHeight="1" x14ac:dyDescent="0.2">
      <c r="A128" s="68">
        <v>114</v>
      </c>
      <c r="B128" s="73">
        <f t="shared" si="0"/>
        <v>24359.962457578171</v>
      </c>
      <c r="C128" s="73">
        <f t="shared" si="7"/>
        <v>4643.5693299018485</v>
      </c>
      <c r="D128" s="73">
        <f t="shared" si="1"/>
        <v>19716.393127676321</v>
      </c>
      <c r="E128" s="69">
        <f t="shared" si="12"/>
        <v>2766425.2048134329</v>
      </c>
      <c r="H128" s="68">
        <v>114</v>
      </c>
      <c r="I128" s="73">
        <f t="shared" si="15"/>
        <v>35088.763869785347</v>
      </c>
      <c r="J128" s="73">
        <f t="shared" si="16"/>
        <v>6688.7257323836711</v>
      </c>
      <c r="K128" s="73">
        <f t="shared" si="13"/>
        <v>28400.038137401676</v>
      </c>
      <c r="L128" s="69">
        <f t="shared" si="14"/>
        <v>3984835.4012928009</v>
      </c>
    </row>
    <row r="129" spans="1:12" ht="14.25" customHeight="1" x14ac:dyDescent="0.2">
      <c r="A129" s="68">
        <v>115</v>
      </c>
      <c r="B129" s="73">
        <f t="shared" si="0"/>
        <v>24359.962457578171</v>
      </c>
      <c r="C129" s="73">
        <f t="shared" si="7"/>
        <v>4610.7086746890554</v>
      </c>
      <c r="D129" s="73">
        <f t="shared" si="1"/>
        <v>19749.253782889115</v>
      </c>
      <c r="E129" s="69">
        <f t="shared" si="12"/>
        <v>2746675.9510305435</v>
      </c>
      <c r="H129" s="68">
        <v>115</v>
      </c>
      <c r="I129" s="73">
        <f t="shared" si="15"/>
        <v>35088.763869785347</v>
      </c>
      <c r="J129" s="73">
        <f t="shared" si="16"/>
        <v>6641.3923354880017</v>
      </c>
      <c r="K129" s="73">
        <f t="shared" si="13"/>
        <v>28447.371534297345</v>
      </c>
      <c r="L129" s="69">
        <f t="shared" si="14"/>
        <v>3956388.0297585037</v>
      </c>
    </row>
    <row r="130" spans="1:12" ht="14.25" customHeight="1" x14ac:dyDescent="0.2">
      <c r="A130" s="68">
        <v>116</v>
      </c>
      <c r="B130" s="73">
        <f t="shared" si="0"/>
        <v>24359.962457578171</v>
      </c>
      <c r="C130" s="73">
        <f t="shared" si="7"/>
        <v>4577.7932517175732</v>
      </c>
      <c r="D130" s="73">
        <f t="shared" si="1"/>
        <v>19782.169205860599</v>
      </c>
      <c r="E130" s="69">
        <f t="shared" si="12"/>
        <v>2726893.7818246828</v>
      </c>
      <c r="H130" s="68">
        <v>116</v>
      </c>
      <c r="I130" s="73">
        <f t="shared" si="15"/>
        <v>35088.763869785347</v>
      </c>
      <c r="J130" s="73">
        <f t="shared" si="16"/>
        <v>6593.9800495975069</v>
      </c>
      <c r="K130" s="73">
        <f t="shared" si="13"/>
        <v>28494.78382018784</v>
      </c>
      <c r="L130" s="69">
        <f t="shared" si="14"/>
        <v>3927893.245938316</v>
      </c>
    </row>
    <row r="131" spans="1:12" ht="14.25" customHeight="1" x14ac:dyDescent="0.2">
      <c r="A131" s="68">
        <v>117</v>
      </c>
      <c r="B131" s="73">
        <f t="shared" si="0"/>
        <v>24359.962457578171</v>
      </c>
      <c r="C131" s="73">
        <f t="shared" si="7"/>
        <v>4544.822969707805</v>
      </c>
      <c r="D131" s="73">
        <f t="shared" si="1"/>
        <v>19815.139487870365</v>
      </c>
      <c r="E131" s="69">
        <f t="shared" si="12"/>
        <v>2707078.6423368123</v>
      </c>
      <c r="H131" s="68">
        <v>117</v>
      </c>
      <c r="I131" s="73">
        <f t="shared" si="15"/>
        <v>35088.763869785347</v>
      </c>
      <c r="J131" s="73">
        <f t="shared" si="16"/>
        <v>6546.4887432305268</v>
      </c>
      <c r="K131" s="73">
        <f t="shared" si="13"/>
        <v>28542.275126554821</v>
      </c>
      <c r="L131" s="69">
        <f t="shared" si="14"/>
        <v>3899350.970811761</v>
      </c>
    </row>
    <row r="132" spans="1:12" ht="14.25" customHeight="1" x14ac:dyDescent="0.2">
      <c r="A132" s="68">
        <v>118</v>
      </c>
      <c r="B132" s="73">
        <f t="shared" si="0"/>
        <v>24359.962457578171</v>
      </c>
      <c r="C132" s="73">
        <f t="shared" si="7"/>
        <v>4511.7977372280211</v>
      </c>
      <c r="D132" s="73">
        <f t="shared" si="1"/>
        <v>19848.164720350149</v>
      </c>
      <c r="E132" s="69">
        <f t="shared" si="12"/>
        <v>2687230.4776164624</v>
      </c>
      <c r="H132" s="68">
        <v>118</v>
      </c>
      <c r="I132" s="73">
        <f t="shared" si="15"/>
        <v>35088.763869785347</v>
      </c>
      <c r="J132" s="73">
        <f t="shared" si="16"/>
        <v>6498.9182846862686</v>
      </c>
      <c r="K132" s="73">
        <f t="shared" si="13"/>
        <v>28589.845585099079</v>
      </c>
      <c r="L132" s="69">
        <f t="shared" si="14"/>
        <v>3870761.125226662</v>
      </c>
    </row>
    <row r="133" spans="1:12" ht="14.25" customHeight="1" x14ac:dyDescent="0.2">
      <c r="A133" s="68">
        <v>119</v>
      </c>
      <c r="B133" s="73">
        <f t="shared" si="0"/>
        <v>24359.962457578171</v>
      </c>
      <c r="C133" s="73">
        <f t="shared" si="7"/>
        <v>4478.7174626941041</v>
      </c>
      <c r="D133" s="73">
        <f t="shared" si="1"/>
        <v>19881.244994884066</v>
      </c>
      <c r="E133" s="69">
        <f t="shared" si="12"/>
        <v>2667349.2326215785</v>
      </c>
      <c r="H133" s="68">
        <v>119</v>
      </c>
      <c r="I133" s="73">
        <f t="shared" si="15"/>
        <v>35088.763869785347</v>
      </c>
      <c r="J133" s="73">
        <f t="shared" si="16"/>
        <v>6451.2685420444368</v>
      </c>
      <c r="K133" s="73">
        <f t="shared" si="13"/>
        <v>28637.495327740911</v>
      </c>
      <c r="L133" s="69">
        <f t="shared" si="14"/>
        <v>3842123.6298989211</v>
      </c>
    </row>
    <row r="134" spans="1:12" ht="14.25" customHeight="1" x14ac:dyDescent="0.2">
      <c r="A134" s="68">
        <v>120</v>
      </c>
      <c r="B134" s="73">
        <f t="shared" si="0"/>
        <v>24359.962457578171</v>
      </c>
      <c r="C134" s="73">
        <f t="shared" si="7"/>
        <v>4445.582054369298</v>
      </c>
      <c r="D134" s="73">
        <f t="shared" si="1"/>
        <v>19914.380403208874</v>
      </c>
      <c r="E134" s="69">
        <f t="shared" si="12"/>
        <v>2647434.8522183695</v>
      </c>
      <c r="H134" s="68">
        <v>120</v>
      </c>
      <c r="I134" s="73">
        <f t="shared" si="15"/>
        <v>35088.763869785347</v>
      </c>
      <c r="J134" s="73">
        <f t="shared" si="16"/>
        <v>6403.5393831648689</v>
      </c>
      <c r="K134" s="73">
        <f t="shared" si="13"/>
        <v>28685.224486620478</v>
      </c>
      <c r="L134" s="69">
        <f t="shared" si="14"/>
        <v>3813438.4054123005</v>
      </c>
    </row>
    <row r="135" spans="1:12" ht="14.25" customHeight="1" x14ac:dyDescent="0.2">
      <c r="A135" s="68">
        <v>121</v>
      </c>
      <c r="B135" s="73">
        <f t="shared" si="0"/>
        <v>24359.962457578171</v>
      </c>
      <c r="C135" s="73">
        <f t="shared" si="7"/>
        <v>4412.3914203639497</v>
      </c>
      <c r="D135" s="73">
        <f t="shared" si="1"/>
        <v>19947.57103721422</v>
      </c>
      <c r="E135" s="69">
        <f t="shared" si="12"/>
        <v>2627487.2811811552</v>
      </c>
      <c r="H135" s="68">
        <v>121</v>
      </c>
      <c r="I135" s="73">
        <f t="shared" si="15"/>
        <v>35088.763869785347</v>
      </c>
      <c r="J135" s="73">
        <f t="shared" si="16"/>
        <v>6355.7306756871676</v>
      </c>
      <c r="K135" s="73">
        <f t="shared" si="13"/>
        <v>28733.033194098178</v>
      </c>
      <c r="L135" s="69">
        <f t="shared" si="14"/>
        <v>3784705.3722182023</v>
      </c>
    </row>
    <row r="136" spans="1:12" ht="14.25" customHeight="1" x14ac:dyDescent="0.2">
      <c r="A136" s="68">
        <v>122</v>
      </c>
      <c r="B136" s="73">
        <f t="shared" si="0"/>
        <v>24359.962457578171</v>
      </c>
      <c r="C136" s="73">
        <f t="shared" si="7"/>
        <v>4379.145468635259</v>
      </c>
      <c r="D136" s="73">
        <f t="shared" si="1"/>
        <v>19980.816988942912</v>
      </c>
      <c r="E136" s="69">
        <f t="shared" si="12"/>
        <v>2607506.4641922126</v>
      </c>
      <c r="H136" s="68">
        <v>122</v>
      </c>
      <c r="I136" s="73">
        <f t="shared" si="15"/>
        <v>35088.763869785347</v>
      </c>
      <c r="J136" s="73">
        <f t="shared" si="16"/>
        <v>6307.8422870303375</v>
      </c>
      <c r="K136" s="73">
        <f t="shared" si="13"/>
        <v>28780.921582755011</v>
      </c>
      <c r="L136" s="69">
        <f t="shared" si="14"/>
        <v>3755924.4506354472</v>
      </c>
    </row>
    <row r="137" spans="1:12" ht="14.25" customHeight="1" x14ac:dyDescent="0.2">
      <c r="A137" s="68">
        <v>123</v>
      </c>
      <c r="B137" s="73">
        <f t="shared" si="0"/>
        <v>24359.962457578171</v>
      </c>
      <c r="C137" s="73">
        <f t="shared" si="7"/>
        <v>4345.8441069870214</v>
      </c>
      <c r="D137" s="73">
        <f t="shared" si="1"/>
        <v>20014.11835059115</v>
      </c>
      <c r="E137" s="69">
        <f t="shared" si="12"/>
        <v>2587492.3458416215</v>
      </c>
      <c r="H137" s="68">
        <v>123</v>
      </c>
      <c r="I137" s="73">
        <f t="shared" si="15"/>
        <v>35088.763869785347</v>
      </c>
      <c r="J137" s="73">
        <f t="shared" si="16"/>
        <v>6259.8740843924124</v>
      </c>
      <c r="K137" s="73">
        <f t="shared" si="13"/>
        <v>28828.889785392934</v>
      </c>
      <c r="L137" s="69">
        <f t="shared" si="14"/>
        <v>3727095.560850054</v>
      </c>
    </row>
    <row r="138" spans="1:12" ht="14.25" customHeight="1" x14ac:dyDescent="0.2">
      <c r="A138" s="68">
        <v>124</v>
      </c>
      <c r="B138" s="73">
        <f t="shared" si="0"/>
        <v>24359.962457578171</v>
      </c>
      <c r="C138" s="73">
        <f t="shared" si="7"/>
        <v>4312.4872430693695</v>
      </c>
      <c r="D138" s="73">
        <f t="shared" si="1"/>
        <v>20047.475214508802</v>
      </c>
      <c r="E138" s="69">
        <f t="shared" si="12"/>
        <v>2567444.8706271127</v>
      </c>
      <c r="H138" s="68">
        <v>124</v>
      </c>
      <c r="I138" s="73">
        <f t="shared" si="15"/>
        <v>35088.763869785347</v>
      </c>
      <c r="J138" s="73">
        <f t="shared" si="16"/>
        <v>6211.8259347500907</v>
      </c>
      <c r="K138" s="73">
        <f t="shared" si="13"/>
        <v>28876.937935035257</v>
      </c>
      <c r="L138" s="69">
        <f t="shared" si="14"/>
        <v>3698218.6229150188</v>
      </c>
    </row>
    <row r="139" spans="1:12" ht="14.25" customHeight="1" x14ac:dyDescent="0.2">
      <c r="A139" s="68">
        <v>125</v>
      </c>
      <c r="B139" s="73">
        <f t="shared" si="0"/>
        <v>24359.962457578171</v>
      </c>
      <c r="C139" s="73">
        <f t="shared" si="7"/>
        <v>4279.0747843785211</v>
      </c>
      <c r="D139" s="73">
        <f t="shared" si="1"/>
        <v>20080.88767319965</v>
      </c>
      <c r="E139" s="69">
        <f t="shared" si="12"/>
        <v>2547363.982953913</v>
      </c>
      <c r="H139" s="68">
        <v>125</v>
      </c>
      <c r="I139" s="73">
        <f t="shared" si="15"/>
        <v>35088.763869785347</v>
      </c>
      <c r="J139" s="73">
        <f t="shared" si="16"/>
        <v>6163.6977048583649</v>
      </c>
      <c r="K139" s="73">
        <f t="shared" si="13"/>
        <v>28925.066164926982</v>
      </c>
      <c r="L139" s="69">
        <f t="shared" si="14"/>
        <v>3669293.5567500917</v>
      </c>
    </row>
    <row r="140" spans="1:12" ht="14.25" customHeight="1" x14ac:dyDescent="0.2">
      <c r="A140" s="68">
        <v>126</v>
      </c>
      <c r="B140" s="73">
        <f t="shared" si="0"/>
        <v>24359.962457578171</v>
      </c>
      <c r="C140" s="73">
        <f t="shared" si="7"/>
        <v>4245.6066382565223</v>
      </c>
      <c r="D140" s="73">
        <f t="shared" si="1"/>
        <v>20114.355819321649</v>
      </c>
      <c r="E140" s="69">
        <f t="shared" si="12"/>
        <v>2527249.6271345913</v>
      </c>
      <c r="H140" s="68">
        <v>126</v>
      </c>
      <c r="I140" s="73">
        <f t="shared" si="15"/>
        <v>35088.763869785347</v>
      </c>
      <c r="J140" s="73">
        <f t="shared" si="16"/>
        <v>6115.4892612501535</v>
      </c>
      <c r="K140" s="73">
        <f t="shared" si="13"/>
        <v>28973.274608535194</v>
      </c>
      <c r="L140" s="69">
        <f t="shared" si="14"/>
        <v>3640320.2821415565</v>
      </c>
    </row>
    <row r="141" spans="1:12" ht="14.25" customHeight="1" x14ac:dyDescent="0.2">
      <c r="A141" s="68">
        <v>127</v>
      </c>
      <c r="B141" s="73">
        <f t="shared" si="0"/>
        <v>24359.962457578171</v>
      </c>
      <c r="C141" s="73">
        <f t="shared" si="7"/>
        <v>4212.0827118909856</v>
      </c>
      <c r="D141" s="73">
        <f t="shared" si="1"/>
        <v>20147.879745687183</v>
      </c>
      <c r="E141" s="69">
        <f t="shared" si="12"/>
        <v>2507101.747388904</v>
      </c>
      <c r="H141" s="68">
        <v>127</v>
      </c>
      <c r="I141" s="73">
        <f t="shared" si="15"/>
        <v>35088.763869785347</v>
      </c>
      <c r="J141" s="73">
        <f t="shared" si="16"/>
        <v>6067.2004702359282</v>
      </c>
      <c r="K141" s="73">
        <f t="shared" si="13"/>
        <v>29021.563399549421</v>
      </c>
      <c r="L141" s="69">
        <f t="shared" si="14"/>
        <v>3611298.7187420069</v>
      </c>
    </row>
    <row r="142" spans="1:12" ht="14.25" customHeight="1" x14ac:dyDescent="0.2">
      <c r="A142" s="68">
        <v>128</v>
      </c>
      <c r="B142" s="73">
        <f t="shared" si="0"/>
        <v>24359.962457578171</v>
      </c>
      <c r="C142" s="73">
        <f t="shared" si="7"/>
        <v>4178.5029123148406</v>
      </c>
      <c r="D142" s="73">
        <f t="shared" si="1"/>
        <v>20181.459545263329</v>
      </c>
      <c r="E142" s="69">
        <f t="shared" si="12"/>
        <v>2486920.2878436404</v>
      </c>
      <c r="H142" s="68">
        <v>128</v>
      </c>
      <c r="I142" s="73">
        <f t="shared" si="15"/>
        <v>35088.763869785347</v>
      </c>
      <c r="J142" s="73">
        <f t="shared" si="16"/>
        <v>6018.8311979033451</v>
      </c>
      <c r="K142" s="73">
        <f t="shared" si="13"/>
        <v>29069.932671882001</v>
      </c>
      <c r="L142" s="69">
        <f t="shared" si="14"/>
        <v>3582228.7860701247</v>
      </c>
    </row>
    <row r="143" spans="1:12" ht="14.25" customHeight="1" x14ac:dyDescent="0.2">
      <c r="A143" s="68">
        <v>129</v>
      </c>
      <c r="B143" s="73">
        <f t="shared" si="0"/>
        <v>24359.962457578171</v>
      </c>
      <c r="C143" s="73">
        <f t="shared" si="7"/>
        <v>4144.8671464060681</v>
      </c>
      <c r="D143" s="73">
        <f t="shared" si="1"/>
        <v>20215.095311172103</v>
      </c>
      <c r="E143" s="69">
        <f t="shared" ref="E143:E206" si="17">E142-D143</f>
        <v>2466705.1925324681</v>
      </c>
      <c r="H143" s="68">
        <v>129</v>
      </c>
      <c r="I143" s="73">
        <f t="shared" si="15"/>
        <v>35088.763869785347</v>
      </c>
      <c r="J143" s="73">
        <f t="shared" si="16"/>
        <v>5970.3813101168753</v>
      </c>
      <c r="K143" s="73">
        <f t="shared" ref="K143:K206" si="18">I143-J143</f>
        <v>29118.382559668473</v>
      </c>
      <c r="L143" s="69">
        <f t="shared" ref="L143:L206" si="19">L142-K143</f>
        <v>3553110.4035104564</v>
      </c>
    </row>
    <row r="144" spans="1:12" ht="14.25" customHeight="1" x14ac:dyDescent="0.2">
      <c r="A144" s="68">
        <v>130</v>
      </c>
      <c r="B144" s="73">
        <f t="shared" si="0"/>
        <v>24359.962457578171</v>
      </c>
      <c r="C144" s="73">
        <f t="shared" si="7"/>
        <v>4111.175320887447</v>
      </c>
      <c r="D144" s="73">
        <f t="shared" si="1"/>
        <v>20248.787136690724</v>
      </c>
      <c r="E144" s="69">
        <f t="shared" si="17"/>
        <v>2446456.4053957774</v>
      </c>
      <c r="H144" s="68">
        <v>130</v>
      </c>
      <c r="I144" s="73">
        <f t="shared" ref="I144:I207" si="20">PMT($J$7,$J$8,-$J$6,0,)</f>
        <v>35088.763869785347</v>
      </c>
      <c r="J144" s="73">
        <f t="shared" ref="J144:J207" si="21">L143*$C$7</f>
        <v>5921.8506725174275</v>
      </c>
      <c r="K144" s="73">
        <f t="shared" si="18"/>
        <v>29166.913197267921</v>
      </c>
      <c r="L144" s="69">
        <f t="shared" si="19"/>
        <v>3523943.4903131886</v>
      </c>
    </row>
    <row r="145" spans="1:12" ht="14.25" customHeight="1" x14ac:dyDescent="0.2">
      <c r="A145" s="68">
        <v>131</v>
      </c>
      <c r="B145" s="73">
        <f t="shared" si="0"/>
        <v>24359.962457578171</v>
      </c>
      <c r="C145" s="73">
        <f t="shared" si="7"/>
        <v>4077.4273423262962</v>
      </c>
      <c r="D145" s="73">
        <f t="shared" si="1"/>
        <v>20282.535115251874</v>
      </c>
      <c r="E145" s="69">
        <f t="shared" si="17"/>
        <v>2426173.8702805256</v>
      </c>
      <c r="H145" s="68">
        <v>131</v>
      </c>
      <c r="I145" s="73">
        <f t="shared" si="20"/>
        <v>35088.763869785347</v>
      </c>
      <c r="J145" s="73">
        <f t="shared" si="21"/>
        <v>5873.2391505219812</v>
      </c>
      <c r="K145" s="73">
        <f t="shared" si="18"/>
        <v>29215.524719263365</v>
      </c>
      <c r="L145" s="69">
        <f t="shared" si="19"/>
        <v>3494727.9655939252</v>
      </c>
    </row>
    <row r="146" spans="1:12" ht="14.25" customHeight="1" x14ac:dyDescent="0.2">
      <c r="A146" s="68">
        <v>132</v>
      </c>
      <c r="B146" s="73">
        <f t="shared" si="0"/>
        <v>24359.962457578171</v>
      </c>
      <c r="C146" s="73">
        <f t="shared" si="7"/>
        <v>4043.6231171342097</v>
      </c>
      <c r="D146" s="73">
        <f t="shared" si="1"/>
        <v>20316.339340443963</v>
      </c>
      <c r="E146" s="69">
        <f t="shared" si="17"/>
        <v>2405857.5309400815</v>
      </c>
      <c r="H146" s="68">
        <v>132</v>
      </c>
      <c r="I146" s="73">
        <f t="shared" si="20"/>
        <v>35088.763869785347</v>
      </c>
      <c r="J146" s="73">
        <f t="shared" si="21"/>
        <v>5824.5466093232089</v>
      </c>
      <c r="K146" s="73">
        <f t="shared" si="18"/>
        <v>29264.217260462137</v>
      </c>
      <c r="L146" s="69">
        <f t="shared" si="19"/>
        <v>3465463.748333463</v>
      </c>
    </row>
    <row r="147" spans="1:12" ht="14.25" customHeight="1" x14ac:dyDescent="0.2">
      <c r="A147" s="68">
        <v>133</v>
      </c>
      <c r="B147" s="73">
        <f t="shared" si="0"/>
        <v>24359.962457578171</v>
      </c>
      <c r="C147" s="73">
        <f t="shared" si="7"/>
        <v>4009.7625515668028</v>
      </c>
      <c r="D147" s="73">
        <f t="shared" si="1"/>
        <v>20350.199906011367</v>
      </c>
      <c r="E147" s="69">
        <f t="shared" si="17"/>
        <v>2385507.3310340699</v>
      </c>
      <c r="H147" s="68">
        <v>133</v>
      </c>
      <c r="I147" s="73">
        <f t="shared" si="20"/>
        <v>35088.763869785347</v>
      </c>
      <c r="J147" s="73">
        <f t="shared" si="21"/>
        <v>5775.7729138891054</v>
      </c>
      <c r="K147" s="73">
        <f t="shared" si="18"/>
        <v>29312.990955896243</v>
      </c>
      <c r="L147" s="69">
        <f t="shared" si="19"/>
        <v>3436150.7573775668</v>
      </c>
    </row>
    <row r="148" spans="1:12" ht="14.25" customHeight="1" x14ac:dyDescent="0.2">
      <c r="A148" s="68">
        <v>134</v>
      </c>
      <c r="B148" s="73">
        <f t="shared" si="0"/>
        <v>24359.962457578171</v>
      </c>
      <c r="C148" s="73">
        <f t="shared" si="7"/>
        <v>3975.8455517234502</v>
      </c>
      <c r="D148" s="73">
        <f t="shared" si="1"/>
        <v>20384.11690585472</v>
      </c>
      <c r="E148" s="69">
        <f t="shared" si="17"/>
        <v>2365123.2141282153</v>
      </c>
      <c r="H148" s="68">
        <v>134</v>
      </c>
      <c r="I148" s="73">
        <f t="shared" si="20"/>
        <v>35088.763869785347</v>
      </c>
      <c r="J148" s="73">
        <f t="shared" si="21"/>
        <v>5726.9179289626118</v>
      </c>
      <c r="K148" s="73">
        <f t="shared" si="18"/>
        <v>29361.845940822735</v>
      </c>
      <c r="L148" s="69">
        <f t="shared" si="19"/>
        <v>3406788.911436744</v>
      </c>
    </row>
    <row r="149" spans="1:12" ht="14.25" customHeight="1" x14ac:dyDescent="0.2">
      <c r="A149" s="68">
        <v>135</v>
      </c>
      <c r="B149" s="73">
        <f t="shared" si="0"/>
        <v>24359.962457578171</v>
      </c>
      <c r="C149" s="73">
        <f t="shared" si="7"/>
        <v>3941.8720235470259</v>
      </c>
      <c r="D149" s="73">
        <f t="shared" si="1"/>
        <v>20418.090434031146</v>
      </c>
      <c r="E149" s="69">
        <f t="shared" si="17"/>
        <v>2344705.1236941842</v>
      </c>
      <c r="H149" s="68">
        <v>135</v>
      </c>
      <c r="I149" s="73">
        <f t="shared" si="20"/>
        <v>35088.763869785347</v>
      </c>
      <c r="J149" s="73">
        <f t="shared" si="21"/>
        <v>5677.9815190612408</v>
      </c>
      <c r="K149" s="73">
        <f t="shared" si="18"/>
        <v>29410.782350724105</v>
      </c>
      <c r="L149" s="69">
        <f t="shared" si="19"/>
        <v>3377378.1290860199</v>
      </c>
    </row>
    <row r="150" spans="1:12" ht="14.25" customHeight="1" x14ac:dyDescent="0.2">
      <c r="A150" s="68">
        <v>136</v>
      </c>
      <c r="B150" s="73">
        <f t="shared" si="0"/>
        <v>24359.962457578171</v>
      </c>
      <c r="C150" s="73">
        <f t="shared" si="7"/>
        <v>3907.8418728236406</v>
      </c>
      <c r="D150" s="73">
        <f t="shared" si="1"/>
        <v>20452.120584754532</v>
      </c>
      <c r="E150" s="69">
        <f t="shared" si="17"/>
        <v>2324253.0031094295</v>
      </c>
      <c r="H150" s="68">
        <v>136</v>
      </c>
      <c r="I150" s="73">
        <f t="shared" si="20"/>
        <v>35088.763869785347</v>
      </c>
      <c r="J150" s="73">
        <f t="shared" si="21"/>
        <v>5628.9635484767005</v>
      </c>
      <c r="K150" s="73">
        <f t="shared" si="18"/>
        <v>29459.800321308649</v>
      </c>
      <c r="L150" s="69">
        <f t="shared" si="19"/>
        <v>3347918.3287647115</v>
      </c>
    </row>
    <row r="151" spans="1:12" ht="14.25" customHeight="1" x14ac:dyDescent="0.2">
      <c r="A151" s="68">
        <v>137</v>
      </c>
      <c r="B151" s="73">
        <f t="shared" si="0"/>
        <v>24359.962457578171</v>
      </c>
      <c r="C151" s="73">
        <f t="shared" si="7"/>
        <v>3873.7550051823828</v>
      </c>
      <c r="D151" s="73">
        <f t="shared" si="1"/>
        <v>20486.207452395789</v>
      </c>
      <c r="E151" s="69">
        <f t="shared" si="17"/>
        <v>2303766.7956570336</v>
      </c>
      <c r="H151" s="68">
        <v>137</v>
      </c>
      <c r="I151" s="73">
        <f t="shared" si="20"/>
        <v>35088.763869785347</v>
      </c>
      <c r="J151" s="73">
        <f t="shared" si="21"/>
        <v>5579.8638812745194</v>
      </c>
      <c r="K151" s="73">
        <f t="shared" si="18"/>
        <v>29508.899988510828</v>
      </c>
      <c r="L151" s="69">
        <f t="shared" si="19"/>
        <v>3318409.4287762009</v>
      </c>
    </row>
    <row r="152" spans="1:12" ht="14.25" customHeight="1" x14ac:dyDescent="0.2">
      <c r="A152" s="68">
        <v>138</v>
      </c>
      <c r="B152" s="73">
        <f t="shared" si="0"/>
        <v>24359.962457578171</v>
      </c>
      <c r="C152" s="73">
        <f t="shared" si="7"/>
        <v>3839.611326095056</v>
      </c>
      <c r="D152" s="73">
        <f t="shared" si="1"/>
        <v>20520.351131483116</v>
      </c>
      <c r="E152" s="69">
        <f t="shared" si="17"/>
        <v>2283246.4445255506</v>
      </c>
      <c r="H152" s="68">
        <v>138</v>
      </c>
      <c r="I152" s="73">
        <f t="shared" si="20"/>
        <v>35088.763869785347</v>
      </c>
      <c r="J152" s="73">
        <f t="shared" si="21"/>
        <v>5530.6823812936682</v>
      </c>
      <c r="K152" s="73">
        <f t="shared" si="18"/>
        <v>29558.08148849168</v>
      </c>
      <c r="L152" s="69">
        <f t="shared" si="19"/>
        <v>3288851.3472877094</v>
      </c>
    </row>
    <row r="153" spans="1:12" ht="14.25" customHeight="1" x14ac:dyDescent="0.2">
      <c r="A153" s="68">
        <v>139</v>
      </c>
      <c r="B153" s="73">
        <f t="shared" si="0"/>
        <v>24359.962457578171</v>
      </c>
      <c r="C153" s="73">
        <f t="shared" si="7"/>
        <v>3805.4107408759178</v>
      </c>
      <c r="D153" s="73">
        <f t="shared" si="1"/>
        <v>20554.551716702252</v>
      </c>
      <c r="E153" s="69">
        <f t="shared" si="17"/>
        <v>2262691.8928088485</v>
      </c>
      <c r="H153" s="68">
        <v>139</v>
      </c>
      <c r="I153" s="73">
        <f t="shared" si="20"/>
        <v>35088.763869785347</v>
      </c>
      <c r="J153" s="73">
        <f t="shared" si="21"/>
        <v>5481.4189121461823</v>
      </c>
      <c r="K153" s="73">
        <f t="shared" si="18"/>
        <v>29607.344957639165</v>
      </c>
      <c r="L153" s="69">
        <f t="shared" si="19"/>
        <v>3259244.0023300704</v>
      </c>
    </row>
    <row r="154" spans="1:12" ht="14.25" customHeight="1" x14ac:dyDescent="0.2">
      <c r="A154" s="68">
        <v>140</v>
      </c>
      <c r="B154" s="73">
        <f t="shared" si="0"/>
        <v>24359.962457578171</v>
      </c>
      <c r="C154" s="73">
        <f t="shared" si="7"/>
        <v>3771.1531546814144</v>
      </c>
      <c r="D154" s="73">
        <f t="shared" si="1"/>
        <v>20588.809302896756</v>
      </c>
      <c r="E154" s="69">
        <f t="shared" si="17"/>
        <v>2242103.0835059518</v>
      </c>
      <c r="H154" s="68">
        <v>140</v>
      </c>
      <c r="I154" s="73">
        <f t="shared" si="20"/>
        <v>35088.763869785347</v>
      </c>
      <c r="J154" s="73">
        <f t="shared" si="21"/>
        <v>5432.0733372167842</v>
      </c>
      <c r="K154" s="73">
        <f t="shared" si="18"/>
        <v>29656.690532568562</v>
      </c>
      <c r="L154" s="69">
        <f t="shared" si="19"/>
        <v>3229587.311797502</v>
      </c>
    </row>
    <row r="155" spans="1:12" ht="14.25" customHeight="1" x14ac:dyDescent="0.2">
      <c r="A155" s="68">
        <v>141</v>
      </c>
      <c r="B155" s="73">
        <f t="shared" si="0"/>
        <v>24359.962457578171</v>
      </c>
      <c r="C155" s="73">
        <f t="shared" si="7"/>
        <v>3736.8384725099199</v>
      </c>
      <c r="D155" s="73">
        <f t="shared" si="1"/>
        <v>20623.12398506825</v>
      </c>
      <c r="E155" s="69">
        <f t="shared" si="17"/>
        <v>2221479.9595208834</v>
      </c>
      <c r="H155" s="68">
        <v>141</v>
      </c>
      <c r="I155" s="73">
        <f t="shared" si="20"/>
        <v>35088.763869785347</v>
      </c>
      <c r="J155" s="73">
        <f t="shared" si="21"/>
        <v>5382.6455196625038</v>
      </c>
      <c r="K155" s="73">
        <f t="shared" si="18"/>
        <v>29706.118350122844</v>
      </c>
      <c r="L155" s="69">
        <f t="shared" si="19"/>
        <v>3199881.1934473789</v>
      </c>
    </row>
    <row r="156" spans="1:12" ht="14.25" customHeight="1" x14ac:dyDescent="0.2">
      <c r="A156" s="68">
        <v>142</v>
      </c>
      <c r="B156" s="73">
        <f t="shared" si="0"/>
        <v>24359.962457578171</v>
      </c>
      <c r="C156" s="73">
        <f t="shared" si="7"/>
        <v>3702.4665992014725</v>
      </c>
      <c r="D156" s="73">
        <f t="shared" si="1"/>
        <v>20657.4958583767</v>
      </c>
      <c r="E156" s="69">
        <f t="shared" si="17"/>
        <v>2200822.4636625065</v>
      </c>
      <c r="H156" s="68">
        <v>142</v>
      </c>
      <c r="I156" s="73">
        <f t="shared" si="20"/>
        <v>35088.763869785347</v>
      </c>
      <c r="J156" s="73">
        <f t="shared" si="21"/>
        <v>5333.1353224122986</v>
      </c>
      <c r="K156" s="73">
        <f t="shared" si="18"/>
        <v>29755.62854737305</v>
      </c>
      <c r="L156" s="69">
        <f t="shared" si="19"/>
        <v>3170125.5649000057</v>
      </c>
    </row>
    <row r="157" spans="1:12" ht="14.25" customHeight="1" x14ac:dyDescent="0.2">
      <c r="A157" s="68">
        <v>143</v>
      </c>
      <c r="B157" s="73">
        <f t="shared" si="0"/>
        <v>24359.962457578171</v>
      </c>
      <c r="C157" s="73">
        <f t="shared" si="7"/>
        <v>3668.0374394375112</v>
      </c>
      <c r="D157" s="73">
        <f t="shared" si="1"/>
        <v>20691.925018140661</v>
      </c>
      <c r="E157" s="69">
        <f t="shared" si="17"/>
        <v>2180130.538644366</v>
      </c>
      <c r="H157" s="68">
        <v>143</v>
      </c>
      <c r="I157" s="73">
        <f t="shared" si="20"/>
        <v>35088.763869785347</v>
      </c>
      <c r="J157" s="73">
        <f t="shared" si="21"/>
        <v>5283.5426081666765</v>
      </c>
      <c r="K157" s="73">
        <f t="shared" si="18"/>
        <v>29805.22126161867</v>
      </c>
      <c r="L157" s="69">
        <f t="shared" si="19"/>
        <v>3140320.343638387</v>
      </c>
    </row>
    <row r="158" spans="1:12" ht="14.25" customHeight="1" x14ac:dyDescent="0.2">
      <c r="A158" s="68">
        <v>144</v>
      </c>
      <c r="B158" s="73">
        <f t="shared" si="0"/>
        <v>24359.962457578171</v>
      </c>
      <c r="C158" s="73">
        <f t="shared" si="7"/>
        <v>3633.5508977406103</v>
      </c>
      <c r="D158" s="73">
        <f t="shared" si="1"/>
        <v>20726.411559837561</v>
      </c>
      <c r="E158" s="69">
        <f t="shared" si="17"/>
        <v>2159404.1270845286</v>
      </c>
      <c r="H158" s="68">
        <v>144</v>
      </c>
      <c r="I158" s="73">
        <f t="shared" si="20"/>
        <v>35088.763869785347</v>
      </c>
      <c r="J158" s="73">
        <f t="shared" si="21"/>
        <v>5233.867239397312</v>
      </c>
      <c r="K158" s="73">
        <f t="shared" si="18"/>
        <v>29854.896630388037</v>
      </c>
      <c r="L158" s="69">
        <f t="shared" si="19"/>
        <v>3110465.4470079988</v>
      </c>
    </row>
    <row r="159" spans="1:12" ht="14.25" customHeight="1" x14ac:dyDescent="0.2">
      <c r="A159" s="68">
        <v>145</v>
      </c>
      <c r="B159" s="73">
        <f t="shared" si="0"/>
        <v>24359.962457578171</v>
      </c>
      <c r="C159" s="73">
        <f t="shared" si="7"/>
        <v>3599.0068784742143</v>
      </c>
      <c r="D159" s="73">
        <f t="shared" si="1"/>
        <v>20760.955579103957</v>
      </c>
      <c r="E159" s="69">
        <f t="shared" si="17"/>
        <v>2138643.1715054247</v>
      </c>
      <c r="H159" s="68">
        <v>145</v>
      </c>
      <c r="I159" s="73">
        <f t="shared" si="20"/>
        <v>35088.763869785347</v>
      </c>
      <c r="J159" s="73">
        <f t="shared" si="21"/>
        <v>5184.1090783466652</v>
      </c>
      <c r="K159" s="73">
        <f t="shared" si="18"/>
        <v>29904.654791438683</v>
      </c>
      <c r="L159" s="69">
        <f t="shared" si="19"/>
        <v>3080560.7922165603</v>
      </c>
    </row>
    <row r="160" spans="1:12" ht="14.25" customHeight="1" x14ac:dyDescent="0.2">
      <c r="A160" s="68">
        <v>146</v>
      </c>
      <c r="B160" s="73">
        <f t="shared" si="0"/>
        <v>24359.962457578171</v>
      </c>
      <c r="C160" s="73">
        <f t="shared" si="7"/>
        <v>3564.4052858423747</v>
      </c>
      <c r="D160" s="73">
        <f t="shared" si="1"/>
        <v>20795.557171735796</v>
      </c>
      <c r="E160" s="69">
        <f t="shared" si="17"/>
        <v>2117847.6143336887</v>
      </c>
      <c r="H160" s="68">
        <v>146</v>
      </c>
      <c r="I160" s="73">
        <f t="shared" si="20"/>
        <v>35088.763869785347</v>
      </c>
      <c r="J160" s="73">
        <f t="shared" si="21"/>
        <v>5134.2679870276006</v>
      </c>
      <c r="K160" s="73">
        <f t="shared" si="18"/>
        <v>29954.495882757747</v>
      </c>
      <c r="L160" s="69">
        <f t="shared" si="19"/>
        <v>3050606.2963338024</v>
      </c>
    </row>
    <row r="161" spans="1:12" ht="14.25" customHeight="1" x14ac:dyDescent="0.2">
      <c r="A161" s="68">
        <v>147</v>
      </c>
      <c r="B161" s="73">
        <f t="shared" si="0"/>
        <v>24359.962457578171</v>
      </c>
      <c r="C161" s="73">
        <f t="shared" si="7"/>
        <v>3529.7460238894814</v>
      </c>
      <c r="D161" s="73">
        <f t="shared" si="1"/>
        <v>20830.216433688689</v>
      </c>
      <c r="E161" s="69">
        <f t="shared" si="17"/>
        <v>2097017.3979</v>
      </c>
      <c r="H161" s="68">
        <v>147</v>
      </c>
      <c r="I161" s="73">
        <f t="shared" si="20"/>
        <v>35088.763869785347</v>
      </c>
      <c r="J161" s="73">
        <f t="shared" si="21"/>
        <v>5084.3438272230042</v>
      </c>
      <c r="K161" s="73">
        <f t="shared" si="18"/>
        <v>30004.420042562342</v>
      </c>
      <c r="L161" s="69">
        <f t="shared" si="19"/>
        <v>3020601.8762912401</v>
      </c>
    </row>
    <row r="162" spans="1:12" ht="14.25" customHeight="1" x14ac:dyDescent="0.2">
      <c r="A162" s="68">
        <v>148</v>
      </c>
      <c r="B162" s="73">
        <f t="shared" si="0"/>
        <v>24359.962457578171</v>
      </c>
      <c r="C162" s="73">
        <f t="shared" si="7"/>
        <v>3495.0289965000002</v>
      </c>
      <c r="D162" s="73">
        <f t="shared" si="1"/>
        <v>20864.93346107817</v>
      </c>
      <c r="E162" s="69">
        <f t="shared" si="17"/>
        <v>2076152.4644389218</v>
      </c>
      <c r="H162" s="68">
        <v>148</v>
      </c>
      <c r="I162" s="73">
        <f t="shared" si="20"/>
        <v>35088.763869785347</v>
      </c>
      <c r="J162" s="73">
        <f t="shared" si="21"/>
        <v>5034.3364604854005</v>
      </c>
      <c r="K162" s="73">
        <f t="shared" si="18"/>
        <v>30054.427409299948</v>
      </c>
      <c r="L162" s="69">
        <f t="shared" si="19"/>
        <v>2990547.44888194</v>
      </c>
    </row>
    <row r="163" spans="1:12" ht="14.25" customHeight="1" x14ac:dyDescent="0.2">
      <c r="A163" s="68">
        <v>149</v>
      </c>
      <c r="B163" s="73">
        <f t="shared" si="0"/>
        <v>24359.962457578171</v>
      </c>
      <c r="C163" s="73">
        <f t="shared" si="7"/>
        <v>3460.2541073982034</v>
      </c>
      <c r="D163" s="73">
        <f t="shared" si="1"/>
        <v>20899.708350179968</v>
      </c>
      <c r="E163" s="69">
        <f t="shared" si="17"/>
        <v>2055252.7560887418</v>
      </c>
      <c r="H163" s="68">
        <v>149</v>
      </c>
      <c r="I163" s="73">
        <f t="shared" si="20"/>
        <v>35088.763869785347</v>
      </c>
      <c r="J163" s="73">
        <f t="shared" si="21"/>
        <v>4984.2457481365673</v>
      </c>
      <c r="K163" s="73">
        <f t="shared" si="18"/>
        <v>30104.51812164878</v>
      </c>
      <c r="L163" s="69">
        <f t="shared" si="19"/>
        <v>2960442.9307602914</v>
      </c>
    </row>
    <row r="164" spans="1:12" ht="14.25" customHeight="1" x14ac:dyDescent="0.2">
      <c r="A164" s="68">
        <v>150</v>
      </c>
      <c r="B164" s="73">
        <f t="shared" si="0"/>
        <v>24359.962457578171</v>
      </c>
      <c r="C164" s="73">
        <f t="shared" si="7"/>
        <v>3425.4212601479035</v>
      </c>
      <c r="D164" s="73">
        <f t="shared" si="1"/>
        <v>20934.541197430266</v>
      </c>
      <c r="E164" s="69">
        <f t="shared" si="17"/>
        <v>2034318.2148913115</v>
      </c>
      <c r="H164" s="68">
        <v>150</v>
      </c>
      <c r="I164" s="73">
        <f t="shared" si="20"/>
        <v>35088.763869785347</v>
      </c>
      <c r="J164" s="73">
        <f t="shared" si="21"/>
        <v>4934.0715512671522</v>
      </c>
      <c r="K164" s="73">
        <f t="shared" si="18"/>
        <v>30154.692318518195</v>
      </c>
      <c r="L164" s="69">
        <f t="shared" si="19"/>
        <v>2930288.2384417732</v>
      </c>
    </row>
    <row r="165" spans="1:12" ht="14.25" customHeight="1" x14ac:dyDescent="0.2">
      <c r="A165" s="68">
        <v>151</v>
      </c>
      <c r="B165" s="73">
        <f t="shared" si="0"/>
        <v>24359.962457578171</v>
      </c>
      <c r="C165" s="73">
        <f t="shared" si="7"/>
        <v>3390.5303581521862</v>
      </c>
      <c r="D165" s="73">
        <f t="shared" si="1"/>
        <v>20969.432099425983</v>
      </c>
      <c r="E165" s="69">
        <f t="shared" si="17"/>
        <v>2013348.7827918855</v>
      </c>
      <c r="H165" s="68">
        <v>151</v>
      </c>
      <c r="I165" s="73">
        <f t="shared" si="20"/>
        <v>35088.763869785347</v>
      </c>
      <c r="J165" s="73">
        <f t="shared" si="21"/>
        <v>4883.8137307362895</v>
      </c>
      <c r="K165" s="73">
        <f t="shared" si="18"/>
        <v>30204.950139049059</v>
      </c>
      <c r="L165" s="69">
        <f t="shared" si="19"/>
        <v>2900083.2883027242</v>
      </c>
    </row>
    <row r="166" spans="1:12" ht="14.25" customHeight="1" x14ac:dyDescent="0.2">
      <c r="A166" s="68">
        <v>152</v>
      </c>
      <c r="B166" s="73">
        <f t="shared" si="0"/>
        <v>24359.962457578171</v>
      </c>
      <c r="C166" s="73">
        <f t="shared" si="7"/>
        <v>3355.581304653143</v>
      </c>
      <c r="D166" s="73">
        <f t="shared" si="1"/>
        <v>21004.381152925027</v>
      </c>
      <c r="E166" s="69">
        <f t="shared" si="17"/>
        <v>1992344.4016389605</v>
      </c>
      <c r="H166" s="68">
        <v>152</v>
      </c>
      <c r="I166" s="73">
        <f t="shared" si="20"/>
        <v>35088.763869785347</v>
      </c>
      <c r="J166" s="73">
        <f t="shared" si="21"/>
        <v>4833.4721471712073</v>
      </c>
      <c r="K166" s="73">
        <f t="shared" si="18"/>
        <v>30255.29172261414</v>
      </c>
      <c r="L166" s="69">
        <f t="shared" si="19"/>
        <v>2869827.9965801099</v>
      </c>
    </row>
    <row r="167" spans="1:12" ht="14.25" customHeight="1" x14ac:dyDescent="0.2">
      <c r="A167" s="68">
        <v>153</v>
      </c>
      <c r="B167" s="73">
        <f t="shared" si="0"/>
        <v>24359.962457578171</v>
      </c>
      <c r="C167" s="73">
        <f t="shared" si="7"/>
        <v>3320.574002731601</v>
      </c>
      <c r="D167" s="73">
        <f t="shared" si="1"/>
        <v>21039.388454846568</v>
      </c>
      <c r="E167" s="69">
        <f t="shared" si="17"/>
        <v>1971305.0131841139</v>
      </c>
      <c r="H167" s="68">
        <v>153</v>
      </c>
      <c r="I167" s="73">
        <f t="shared" si="20"/>
        <v>35088.763869785347</v>
      </c>
      <c r="J167" s="73">
        <f t="shared" si="21"/>
        <v>4783.0466609668501</v>
      </c>
      <c r="K167" s="73">
        <f t="shared" si="18"/>
        <v>30305.717208818496</v>
      </c>
      <c r="L167" s="69">
        <f t="shared" si="19"/>
        <v>2839522.2793712914</v>
      </c>
    </row>
    <row r="168" spans="1:12" ht="14.25" customHeight="1" x14ac:dyDescent="0.2">
      <c r="A168" s="68">
        <v>154</v>
      </c>
      <c r="B168" s="73">
        <f t="shared" si="0"/>
        <v>24359.962457578171</v>
      </c>
      <c r="C168" s="73">
        <f t="shared" si="7"/>
        <v>3285.5083553068566</v>
      </c>
      <c r="D168" s="73">
        <f t="shared" si="1"/>
        <v>21074.454102271313</v>
      </c>
      <c r="E168" s="69">
        <f t="shared" si="17"/>
        <v>1950230.5590818427</v>
      </c>
      <c r="H168" s="68">
        <v>154</v>
      </c>
      <c r="I168" s="73">
        <f t="shared" si="20"/>
        <v>35088.763869785347</v>
      </c>
      <c r="J168" s="73">
        <f t="shared" si="21"/>
        <v>4732.5371322854862</v>
      </c>
      <c r="K168" s="73">
        <f t="shared" si="18"/>
        <v>30356.226737499863</v>
      </c>
      <c r="L168" s="69">
        <f t="shared" si="19"/>
        <v>2809166.0526337917</v>
      </c>
    </row>
    <row r="169" spans="1:12" ht="14.25" customHeight="1" x14ac:dyDescent="0.2">
      <c r="A169" s="68">
        <v>155</v>
      </c>
      <c r="B169" s="73">
        <f t="shared" si="0"/>
        <v>24359.962457578171</v>
      </c>
      <c r="C169" s="73">
        <f t="shared" si="7"/>
        <v>3250.3842651364048</v>
      </c>
      <c r="D169" s="73">
        <f t="shared" si="1"/>
        <v>21109.578192441768</v>
      </c>
      <c r="E169" s="69">
        <f t="shared" si="17"/>
        <v>1929120.9808894009</v>
      </c>
      <c r="H169" s="68">
        <v>155</v>
      </c>
      <c r="I169" s="73">
        <f t="shared" si="20"/>
        <v>35088.763869785347</v>
      </c>
      <c r="J169" s="73">
        <f t="shared" si="21"/>
        <v>4681.9434210563195</v>
      </c>
      <c r="K169" s="73">
        <f t="shared" si="18"/>
        <v>30406.820448729028</v>
      </c>
      <c r="L169" s="69">
        <f t="shared" si="19"/>
        <v>2778759.2321850625</v>
      </c>
    </row>
    <row r="170" spans="1:12" ht="14.25" customHeight="1" x14ac:dyDescent="0.2">
      <c r="A170" s="68">
        <v>156</v>
      </c>
      <c r="B170" s="73">
        <f t="shared" si="0"/>
        <v>24359.962457578171</v>
      </c>
      <c r="C170" s="73">
        <f t="shared" si="7"/>
        <v>3215.2016348156685</v>
      </c>
      <c r="D170" s="73">
        <f t="shared" si="1"/>
        <v>21144.760822762502</v>
      </c>
      <c r="E170" s="69">
        <f t="shared" si="17"/>
        <v>1907976.2200666384</v>
      </c>
      <c r="H170" s="68">
        <v>156</v>
      </c>
      <c r="I170" s="73">
        <f t="shared" si="20"/>
        <v>35088.763869785347</v>
      </c>
      <c r="J170" s="73">
        <f t="shared" si="21"/>
        <v>4631.2653869751048</v>
      </c>
      <c r="K170" s="73">
        <f t="shared" si="18"/>
        <v>30457.498482810242</v>
      </c>
      <c r="L170" s="69">
        <f t="shared" si="19"/>
        <v>2748301.7337022522</v>
      </c>
    </row>
    <row r="171" spans="1:12" ht="14.25" customHeight="1" x14ac:dyDescent="0.2">
      <c r="A171" s="68">
        <v>157</v>
      </c>
      <c r="B171" s="73">
        <f t="shared" si="0"/>
        <v>24359.962457578171</v>
      </c>
      <c r="C171" s="73">
        <f t="shared" si="7"/>
        <v>3179.960366777731</v>
      </c>
      <c r="D171" s="73">
        <f t="shared" si="1"/>
        <v>21180.002090800441</v>
      </c>
      <c r="E171" s="69">
        <f t="shared" si="17"/>
        <v>1886796.2179758379</v>
      </c>
      <c r="H171" s="68">
        <v>157</v>
      </c>
      <c r="I171" s="73">
        <f t="shared" si="20"/>
        <v>35088.763869785347</v>
      </c>
      <c r="J171" s="73">
        <f t="shared" si="21"/>
        <v>4580.502889503754</v>
      </c>
      <c r="K171" s="73">
        <f t="shared" si="18"/>
        <v>30508.260980281593</v>
      </c>
      <c r="L171" s="69">
        <f t="shared" si="19"/>
        <v>2717793.4727219706</v>
      </c>
    </row>
    <row r="172" spans="1:12" ht="14.25" customHeight="1" x14ac:dyDescent="0.2">
      <c r="A172" s="68">
        <v>158</v>
      </c>
      <c r="B172" s="73">
        <f t="shared" si="0"/>
        <v>24359.962457578171</v>
      </c>
      <c r="C172" s="73">
        <f t="shared" si="7"/>
        <v>3144.6603632930633</v>
      </c>
      <c r="D172" s="73">
        <f t="shared" si="1"/>
        <v>21215.302094285107</v>
      </c>
      <c r="E172" s="69">
        <f t="shared" si="17"/>
        <v>1865580.9158815527</v>
      </c>
      <c r="H172" s="68">
        <v>158</v>
      </c>
      <c r="I172" s="73">
        <f t="shared" si="20"/>
        <v>35088.763869785347</v>
      </c>
      <c r="J172" s="73">
        <f t="shared" si="21"/>
        <v>4529.6557878699514</v>
      </c>
      <c r="K172" s="73">
        <f t="shared" si="18"/>
        <v>30559.108081915394</v>
      </c>
      <c r="L172" s="69">
        <f t="shared" si="19"/>
        <v>2687234.3646400552</v>
      </c>
    </row>
    <row r="173" spans="1:12" ht="14.25" customHeight="1" x14ac:dyDescent="0.2">
      <c r="A173" s="68">
        <v>159</v>
      </c>
      <c r="B173" s="73">
        <f t="shared" si="0"/>
        <v>24359.962457578171</v>
      </c>
      <c r="C173" s="73">
        <f t="shared" si="7"/>
        <v>3109.3015264692549</v>
      </c>
      <c r="D173" s="73">
        <f t="shared" si="1"/>
        <v>21250.660931108916</v>
      </c>
      <c r="E173" s="69">
        <f t="shared" si="17"/>
        <v>1844330.2549504437</v>
      </c>
      <c r="H173" s="68">
        <v>159</v>
      </c>
      <c r="I173" s="73">
        <f t="shared" si="20"/>
        <v>35088.763869785347</v>
      </c>
      <c r="J173" s="73">
        <f t="shared" si="21"/>
        <v>4478.7239410667589</v>
      </c>
      <c r="K173" s="73">
        <f t="shared" si="18"/>
        <v>30610.039928718586</v>
      </c>
      <c r="L173" s="69">
        <f t="shared" si="19"/>
        <v>2656624.3247113368</v>
      </c>
    </row>
    <row r="174" spans="1:12" ht="14.25" customHeight="1" x14ac:dyDescent="0.2">
      <c r="A174" s="68">
        <v>160</v>
      </c>
      <c r="B174" s="73">
        <f t="shared" si="0"/>
        <v>24359.962457578171</v>
      </c>
      <c r="C174" s="73">
        <f t="shared" si="7"/>
        <v>3073.8837582507399</v>
      </c>
      <c r="D174" s="73">
        <f t="shared" si="1"/>
        <v>21286.078699327431</v>
      </c>
      <c r="E174" s="69">
        <f t="shared" si="17"/>
        <v>1823044.1762511162</v>
      </c>
      <c r="H174" s="68">
        <v>160</v>
      </c>
      <c r="I174" s="73">
        <f t="shared" si="20"/>
        <v>35088.763869785347</v>
      </c>
      <c r="J174" s="73">
        <f t="shared" si="21"/>
        <v>4427.7072078522278</v>
      </c>
      <c r="K174" s="73">
        <f t="shared" si="18"/>
        <v>30661.056661933118</v>
      </c>
      <c r="L174" s="69">
        <f t="shared" si="19"/>
        <v>2625963.2680494036</v>
      </c>
    </row>
    <row r="175" spans="1:12" ht="14.25" customHeight="1" x14ac:dyDescent="0.2">
      <c r="A175" s="68">
        <v>161</v>
      </c>
      <c r="B175" s="73">
        <f t="shared" si="0"/>
        <v>24359.962457578171</v>
      </c>
      <c r="C175" s="73">
        <f t="shared" si="7"/>
        <v>3038.4069604185274</v>
      </c>
      <c r="D175" s="73">
        <f t="shared" si="1"/>
        <v>21321.555497159643</v>
      </c>
      <c r="E175" s="69">
        <f t="shared" si="17"/>
        <v>1801722.6207539565</v>
      </c>
      <c r="H175" s="68">
        <v>161</v>
      </c>
      <c r="I175" s="73">
        <f t="shared" si="20"/>
        <v>35088.763869785347</v>
      </c>
      <c r="J175" s="73">
        <f t="shared" si="21"/>
        <v>4376.6054467490067</v>
      </c>
      <c r="K175" s="73">
        <f t="shared" si="18"/>
        <v>30712.158423036341</v>
      </c>
      <c r="L175" s="69">
        <f t="shared" si="19"/>
        <v>2595251.1096263672</v>
      </c>
    </row>
    <row r="176" spans="1:12" ht="14.25" customHeight="1" x14ac:dyDescent="0.2">
      <c r="A176" s="68">
        <v>162</v>
      </c>
      <c r="B176" s="73">
        <f t="shared" si="0"/>
        <v>24359.962457578171</v>
      </c>
      <c r="C176" s="73">
        <f t="shared" si="7"/>
        <v>3002.8710345899276</v>
      </c>
      <c r="D176" s="73">
        <f t="shared" si="1"/>
        <v>21357.091422988244</v>
      </c>
      <c r="E176" s="69">
        <f t="shared" si="17"/>
        <v>1780365.5293309682</v>
      </c>
      <c r="H176" s="68">
        <v>162</v>
      </c>
      <c r="I176" s="73">
        <f t="shared" si="20"/>
        <v>35088.763869785347</v>
      </c>
      <c r="J176" s="73">
        <f t="shared" si="21"/>
        <v>4325.4185160439456</v>
      </c>
      <c r="K176" s="73">
        <f t="shared" si="18"/>
        <v>30763.345353741403</v>
      </c>
      <c r="L176" s="69">
        <f t="shared" si="19"/>
        <v>2564487.764272626</v>
      </c>
    </row>
    <row r="177" spans="1:12" ht="14.25" customHeight="1" x14ac:dyDescent="0.2">
      <c r="A177" s="68">
        <v>163</v>
      </c>
      <c r="B177" s="73">
        <f t="shared" si="0"/>
        <v>24359.962457578171</v>
      </c>
      <c r="C177" s="73">
        <f t="shared" si="7"/>
        <v>2967.2758822182805</v>
      </c>
      <c r="D177" s="73">
        <f t="shared" si="1"/>
        <v>21392.68657535989</v>
      </c>
      <c r="E177" s="69">
        <f t="shared" si="17"/>
        <v>1758972.8427556083</v>
      </c>
      <c r="H177" s="68">
        <v>163</v>
      </c>
      <c r="I177" s="73">
        <f t="shared" si="20"/>
        <v>35088.763869785347</v>
      </c>
      <c r="J177" s="73">
        <f t="shared" si="21"/>
        <v>4274.14627378771</v>
      </c>
      <c r="K177" s="73">
        <f t="shared" si="18"/>
        <v>30814.617595997639</v>
      </c>
      <c r="L177" s="69">
        <f t="shared" si="19"/>
        <v>2533673.1466766284</v>
      </c>
    </row>
    <row r="178" spans="1:12" ht="14.25" customHeight="1" x14ac:dyDescent="0.2">
      <c r="A178" s="68">
        <v>164</v>
      </c>
      <c r="B178" s="73">
        <f t="shared" si="0"/>
        <v>24359.962457578171</v>
      </c>
      <c r="C178" s="73">
        <f t="shared" si="7"/>
        <v>2931.6214045926808</v>
      </c>
      <c r="D178" s="73">
        <f t="shared" si="1"/>
        <v>21428.341052985488</v>
      </c>
      <c r="E178" s="69">
        <f t="shared" si="17"/>
        <v>1737544.5017026227</v>
      </c>
      <c r="H178" s="68">
        <v>164</v>
      </c>
      <c r="I178" s="73">
        <f t="shared" si="20"/>
        <v>35088.763869785347</v>
      </c>
      <c r="J178" s="73">
        <f t="shared" si="21"/>
        <v>4222.7885777943811</v>
      </c>
      <c r="K178" s="73">
        <f t="shared" si="18"/>
        <v>30865.975291990966</v>
      </c>
      <c r="L178" s="69">
        <f t="shared" si="19"/>
        <v>2502807.1713846372</v>
      </c>
    </row>
    <row r="179" spans="1:12" ht="14.25" customHeight="1" x14ac:dyDescent="0.2">
      <c r="A179" s="68">
        <v>165</v>
      </c>
      <c r="B179" s="73">
        <f t="shared" si="0"/>
        <v>24359.962457578171</v>
      </c>
      <c r="C179" s="73">
        <f t="shared" si="7"/>
        <v>2895.9075028377047</v>
      </c>
      <c r="D179" s="73">
        <f t="shared" si="1"/>
        <v>21464.054954740466</v>
      </c>
      <c r="E179" s="69">
        <f t="shared" si="17"/>
        <v>1716080.4467478823</v>
      </c>
      <c r="H179" s="68">
        <v>165</v>
      </c>
      <c r="I179" s="73">
        <f t="shared" si="20"/>
        <v>35088.763869785347</v>
      </c>
      <c r="J179" s="73">
        <f t="shared" si="21"/>
        <v>4171.3452856410622</v>
      </c>
      <c r="K179" s="73">
        <f t="shared" si="18"/>
        <v>30917.418584144285</v>
      </c>
      <c r="L179" s="69">
        <f t="shared" si="19"/>
        <v>2471889.752800493</v>
      </c>
    </row>
    <row r="180" spans="1:12" ht="14.25" customHeight="1" x14ac:dyDescent="0.2">
      <c r="A180" s="68">
        <v>166</v>
      </c>
      <c r="B180" s="73">
        <f t="shared" si="0"/>
        <v>24359.962457578171</v>
      </c>
      <c r="C180" s="73">
        <f t="shared" si="7"/>
        <v>2860.1340779131374</v>
      </c>
      <c r="D180" s="73">
        <f t="shared" si="1"/>
        <v>21499.828379665032</v>
      </c>
      <c r="E180" s="69">
        <f t="shared" si="17"/>
        <v>1694580.6183682173</v>
      </c>
      <c r="H180" s="68">
        <v>166</v>
      </c>
      <c r="I180" s="73">
        <f t="shared" si="20"/>
        <v>35088.763869785347</v>
      </c>
      <c r="J180" s="73">
        <f t="shared" si="21"/>
        <v>4119.8162546674885</v>
      </c>
      <c r="K180" s="73">
        <f t="shared" si="18"/>
        <v>30968.947615117861</v>
      </c>
      <c r="L180" s="69">
        <f t="shared" si="19"/>
        <v>2440920.8051853753</v>
      </c>
    </row>
    <row r="181" spans="1:12" ht="14.25" customHeight="1" x14ac:dyDescent="0.2">
      <c r="A181" s="68">
        <v>167</v>
      </c>
      <c r="B181" s="73">
        <f t="shared" si="0"/>
        <v>24359.962457578171</v>
      </c>
      <c r="C181" s="73">
        <f t="shared" si="7"/>
        <v>2824.3010306136957</v>
      </c>
      <c r="D181" s="73">
        <f t="shared" si="1"/>
        <v>21535.661426964474</v>
      </c>
      <c r="E181" s="69">
        <f t="shared" si="17"/>
        <v>1673044.9569412528</v>
      </c>
      <c r="H181" s="68">
        <v>167</v>
      </c>
      <c r="I181" s="73">
        <f t="shared" si="20"/>
        <v>35088.763869785347</v>
      </c>
      <c r="J181" s="73">
        <f t="shared" si="21"/>
        <v>4068.2013419756258</v>
      </c>
      <c r="K181" s="73">
        <f t="shared" si="18"/>
        <v>31020.562527809721</v>
      </c>
      <c r="L181" s="69">
        <f t="shared" si="19"/>
        <v>2409900.2426575655</v>
      </c>
    </row>
    <row r="182" spans="1:12" ht="14.25" customHeight="1" x14ac:dyDescent="0.2">
      <c r="A182" s="68">
        <v>168</v>
      </c>
      <c r="B182" s="73">
        <f t="shared" si="0"/>
        <v>24359.962457578171</v>
      </c>
      <c r="C182" s="73">
        <f t="shared" si="7"/>
        <v>2788.4082615687548</v>
      </c>
      <c r="D182" s="73">
        <f t="shared" si="1"/>
        <v>21571.554196009416</v>
      </c>
      <c r="E182" s="69">
        <f t="shared" si="17"/>
        <v>1651473.4027452434</v>
      </c>
      <c r="H182" s="68">
        <v>168</v>
      </c>
      <c r="I182" s="73">
        <f t="shared" si="20"/>
        <v>35088.763869785347</v>
      </c>
      <c r="J182" s="73">
        <f t="shared" si="21"/>
        <v>4016.5004044292759</v>
      </c>
      <c r="K182" s="73">
        <f t="shared" si="18"/>
        <v>31072.263465356071</v>
      </c>
      <c r="L182" s="69">
        <f t="shared" si="19"/>
        <v>2378827.9791922094</v>
      </c>
    </row>
    <row r="183" spans="1:12" ht="14.25" customHeight="1" x14ac:dyDescent="0.2">
      <c r="A183" s="68">
        <v>169</v>
      </c>
      <c r="B183" s="73">
        <f t="shared" si="0"/>
        <v>24359.962457578171</v>
      </c>
      <c r="C183" s="73">
        <f t="shared" si="7"/>
        <v>2752.4556712420726</v>
      </c>
      <c r="D183" s="73">
        <f t="shared" si="1"/>
        <v>21607.506786336096</v>
      </c>
      <c r="E183" s="69">
        <f t="shared" si="17"/>
        <v>1629865.8959589072</v>
      </c>
      <c r="H183" s="68">
        <v>169</v>
      </c>
      <c r="I183" s="73">
        <f t="shared" si="20"/>
        <v>35088.763869785347</v>
      </c>
      <c r="J183" s="73">
        <f t="shared" si="21"/>
        <v>3964.7132986536826</v>
      </c>
      <c r="K183" s="73">
        <f t="shared" si="18"/>
        <v>31124.050571131665</v>
      </c>
      <c r="L183" s="69">
        <f t="shared" si="19"/>
        <v>2347703.9286210779</v>
      </c>
    </row>
    <row r="184" spans="1:12" ht="14.25" customHeight="1" x14ac:dyDescent="0.2">
      <c r="A184" s="68">
        <v>170</v>
      </c>
      <c r="B184" s="73">
        <f t="shared" si="0"/>
        <v>24359.962457578171</v>
      </c>
      <c r="C184" s="73">
        <f t="shared" si="7"/>
        <v>2716.4431599315121</v>
      </c>
      <c r="D184" s="73">
        <f t="shared" si="1"/>
        <v>21643.519297646657</v>
      </c>
      <c r="E184" s="69">
        <f t="shared" si="17"/>
        <v>1608222.3766612606</v>
      </c>
      <c r="H184" s="68">
        <v>170</v>
      </c>
      <c r="I184" s="73">
        <f t="shared" si="20"/>
        <v>35088.763869785347</v>
      </c>
      <c r="J184" s="73">
        <f t="shared" si="21"/>
        <v>3912.83988103513</v>
      </c>
      <c r="K184" s="73">
        <f t="shared" si="18"/>
        <v>31175.923988750219</v>
      </c>
      <c r="L184" s="69">
        <f t="shared" si="19"/>
        <v>2316528.0046323277</v>
      </c>
    </row>
    <row r="185" spans="1:12" ht="14.25" customHeight="1" x14ac:dyDescent="0.2">
      <c r="A185" s="68">
        <v>171</v>
      </c>
      <c r="B185" s="73">
        <f t="shared" si="0"/>
        <v>24359.962457578171</v>
      </c>
      <c r="C185" s="73">
        <f t="shared" si="7"/>
        <v>2680.3706277687679</v>
      </c>
      <c r="D185" s="73">
        <f t="shared" si="1"/>
        <v>21679.591829809404</v>
      </c>
      <c r="E185" s="69">
        <f t="shared" si="17"/>
        <v>1586542.7848314513</v>
      </c>
      <c r="H185" s="68">
        <v>171</v>
      </c>
      <c r="I185" s="73">
        <f t="shared" si="20"/>
        <v>35088.763869785347</v>
      </c>
      <c r="J185" s="73">
        <f t="shared" si="21"/>
        <v>3860.8800077205465</v>
      </c>
      <c r="K185" s="73">
        <f t="shared" si="18"/>
        <v>31227.883862064802</v>
      </c>
      <c r="L185" s="69">
        <f t="shared" si="19"/>
        <v>2285300.120770263</v>
      </c>
    </row>
    <row r="186" spans="1:12" ht="14.25" customHeight="1" x14ac:dyDescent="0.2">
      <c r="A186" s="68">
        <v>172</v>
      </c>
      <c r="B186" s="73">
        <f t="shared" si="0"/>
        <v>24359.962457578171</v>
      </c>
      <c r="C186" s="73">
        <f t="shared" si="7"/>
        <v>2644.2379747190857</v>
      </c>
      <c r="D186" s="73">
        <f t="shared" si="1"/>
        <v>21715.724482859085</v>
      </c>
      <c r="E186" s="69">
        <f t="shared" si="17"/>
        <v>1564827.0603485922</v>
      </c>
      <c r="H186" s="68">
        <v>172</v>
      </c>
      <c r="I186" s="73">
        <f t="shared" si="20"/>
        <v>35088.763869785347</v>
      </c>
      <c r="J186" s="73">
        <f t="shared" si="21"/>
        <v>3808.8335346171052</v>
      </c>
      <c r="K186" s="73">
        <f t="shared" si="18"/>
        <v>31279.930335168243</v>
      </c>
      <c r="L186" s="69">
        <f t="shared" si="19"/>
        <v>2254020.1904350948</v>
      </c>
    </row>
    <row r="187" spans="1:12" ht="14.25" customHeight="1" x14ac:dyDescent="0.2">
      <c r="A187" s="68">
        <v>173</v>
      </c>
      <c r="B187" s="73">
        <f t="shared" si="0"/>
        <v>24359.962457578171</v>
      </c>
      <c r="C187" s="73">
        <f t="shared" si="7"/>
        <v>2608.0451005809873</v>
      </c>
      <c r="D187" s="73">
        <f t="shared" si="1"/>
        <v>21751.917356997183</v>
      </c>
      <c r="E187" s="69">
        <f t="shared" si="17"/>
        <v>1543075.142991595</v>
      </c>
      <c r="H187" s="68">
        <v>173</v>
      </c>
      <c r="I187" s="73">
        <f t="shared" si="20"/>
        <v>35088.763869785347</v>
      </c>
      <c r="J187" s="73">
        <f t="shared" si="21"/>
        <v>3756.7003173918247</v>
      </c>
      <c r="K187" s="73">
        <f t="shared" si="18"/>
        <v>31332.063552393523</v>
      </c>
      <c r="L187" s="69">
        <f t="shared" si="19"/>
        <v>2222688.1268827012</v>
      </c>
    </row>
    <row r="188" spans="1:12" ht="14.25" customHeight="1" x14ac:dyDescent="0.2">
      <c r="A188" s="68">
        <v>174</v>
      </c>
      <c r="B188" s="73">
        <f t="shared" si="0"/>
        <v>24359.962457578171</v>
      </c>
      <c r="C188" s="73">
        <f t="shared" si="7"/>
        <v>2571.791904985992</v>
      </c>
      <c r="D188" s="73">
        <f t="shared" si="1"/>
        <v>21788.170552592179</v>
      </c>
      <c r="E188" s="69">
        <f t="shared" si="17"/>
        <v>1521286.9724390027</v>
      </c>
      <c r="H188" s="68">
        <v>174</v>
      </c>
      <c r="I188" s="73">
        <f t="shared" si="20"/>
        <v>35088.763869785347</v>
      </c>
      <c r="J188" s="73">
        <f t="shared" si="21"/>
        <v>3704.4802114711688</v>
      </c>
      <c r="K188" s="73">
        <f t="shared" si="18"/>
        <v>31384.28365831418</v>
      </c>
      <c r="L188" s="69">
        <f t="shared" si="19"/>
        <v>2191303.8432243872</v>
      </c>
    </row>
    <row r="189" spans="1:12" ht="14.25" customHeight="1" x14ac:dyDescent="0.2">
      <c r="A189" s="68">
        <v>175</v>
      </c>
      <c r="B189" s="73">
        <f t="shared" si="0"/>
        <v>24359.962457578171</v>
      </c>
      <c r="C189" s="73">
        <f t="shared" si="7"/>
        <v>2535.4782873983381</v>
      </c>
      <c r="D189" s="73">
        <f t="shared" si="1"/>
        <v>21824.484170179832</v>
      </c>
      <c r="E189" s="69">
        <f t="shared" si="17"/>
        <v>1499462.4882688229</v>
      </c>
      <c r="H189" s="68">
        <v>175</v>
      </c>
      <c r="I189" s="73">
        <f t="shared" si="20"/>
        <v>35088.763869785347</v>
      </c>
      <c r="J189" s="73">
        <f t="shared" si="21"/>
        <v>3652.1730720406454</v>
      </c>
      <c r="K189" s="73">
        <f t="shared" si="18"/>
        <v>31436.590797744702</v>
      </c>
      <c r="L189" s="69">
        <f t="shared" si="19"/>
        <v>2159867.2524266425</v>
      </c>
    </row>
    <row r="190" spans="1:12" ht="14.25" customHeight="1" x14ac:dyDescent="0.2">
      <c r="A190" s="68">
        <v>176</v>
      </c>
      <c r="B190" s="73">
        <f t="shared" si="0"/>
        <v>24359.962457578171</v>
      </c>
      <c r="C190" s="73">
        <f t="shared" si="7"/>
        <v>2499.104147114705</v>
      </c>
      <c r="D190" s="73">
        <f t="shared" si="1"/>
        <v>21860.858310463467</v>
      </c>
      <c r="E190" s="69">
        <f t="shared" si="17"/>
        <v>1477601.6299583595</v>
      </c>
      <c r="H190" s="68">
        <v>176</v>
      </c>
      <c r="I190" s="73">
        <f t="shared" si="20"/>
        <v>35088.763869785347</v>
      </c>
      <c r="J190" s="73">
        <f t="shared" si="21"/>
        <v>3599.7787540444042</v>
      </c>
      <c r="K190" s="73">
        <f t="shared" si="18"/>
        <v>31488.985115740943</v>
      </c>
      <c r="L190" s="69">
        <f t="shared" si="19"/>
        <v>2128378.2673109015</v>
      </c>
    </row>
    <row r="191" spans="1:12" ht="14.25" customHeight="1" x14ac:dyDescent="0.2">
      <c r="A191" s="68">
        <v>177</v>
      </c>
      <c r="B191" s="73">
        <f t="shared" si="0"/>
        <v>24359.962457578171</v>
      </c>
      <c r="C191" s="73">
        <f t="shared" si="7"/>
        <v>2462.6693832639326</v>
      </c>
      <c r="D191" s="73">
        <f t="shared" si="1"/>
        <v>21897.293074314239</v>
      </c>
      <c r="E191" s="69">
        <f t="shared" si="17"/>
        <v>1455704.3368840453</v>
      </c>
      <c r="H191" s="68">
        <v>177</v>
      </c>
      <c r="I191" s="73">
        <f t="shared" si="20"/>
        <v>35088.763869785347</v>
      </c>
      <c r="J191" s="73">
        <f t="shared" si="21"/>
        <v>3547.2971121848364</v>
      </c>
      <c r="K191" s="73">
        <f t="shared" si="18"/>
        <v>31541.466757600512</v>
      </c>
      <c r="L191" s="69">
        <f t="shared" si="19"/>
        <v>2096836.8005533011</v>
      </c>
    </row>
    <row r="192" spans="1:12" ht="14.25" customHeight="1" x14ac:dyDescent="0.2">
      <c r="A192" s="68">
        <v>178</v>
      </c>
      <c r="B192" s="73">
        <f t="shared" si="0"/>
        <v>24359.962457578171</v>
      </c>
      <c r="C192" s="73">
        <f t="shared" si="7"/>
        <v>2426.1738948067423</v>
      </c>
      <c r="D192" s="73">
        <f t="shared" si="1"/>
        <v>21933.788562771428</v>
      </c>
      <c r="E192" s="69">
        <f t="shared" si="17"/>
        <v>1433770.5483212739</v>
      </c>
      <c r="H192" s="68">
        <v>178</v>
      </c>
      <c r="I192" s="73">
        <f t="shared" si="20"/>
        <v>35088.763869785347</v>
      </c>
      <c r="J192" s="73">
        <f t="shared" si="21"/>
        <v>3494.7280009221686</v>
      </c>
      <c r="K192" s="73">
        <f t="shared" si="18"/>
        <v>31594.035868863179</v>
      </c>
      <c r="L192" s="69">
        <f t="shared" si="19"/>
        <v>2065242.764684438</v>
      </c>
    </row>
    <row r="193" spans="1:12" ht="14.25" customHeight="1" x14ac:dyDescent="0.2">
      <c r="A193" s="68">
        <v>179</v>
      </c>
      <c r="B193" s="73">
        <f t="shared" si="0"/>
        <v>24359.962457578171</v>
      </c>
      <c r="C193" s="73">
        <f t="shared" si="7"/>
        <v>2389.6175805354565</v>
      </c>
      <c r="D193" s="73">
        <f t="shared" si="1"/>
        <v>21970.344877042713</v>
      </c>
      <c r="E193" s="69">
        <f t="shared" si="17"/>
        <v>1411800.2034442311</v>
      </c>
      <c r="H193" s="68">
        <v>179</v>
      </c>
      <c r="I193" s="73">
        <f t="shared" si="20"/>
        <v>35088.763869785347</v>
      </c>
      <c r="J193" s="73">
        <f t="shared" si="21"/>
        <v>3442.0712744740636</v>
      </c>
      <c r="K193" s="73">
        <f t="shared" si="18"/>
        <v>31646.692595311284</v>
      </c>
      <c r="L193" s="69">
        <f t="shared" si="19"/>
        <v>2033596.0720891268</v>
      </c>
    </row>
    <row r="194" spans="1:12" ht="14.25" customHeight="1" x14ac:dyDescent="0.2">
      <c r="A194" s="68">
        <v>180</v>
      </c>
      <c r="B194" s="73">
        <f t="shared" si="0"/>
        <v>24359.962457578171</v>
      </c>
      <c r="C194" s="73">
        <f t="shared" si="7"/>
        <v>2353.0003390737188</v>
      </c>
      <c r="D194" s="73">
        <f t="shared" si="1"/>
        <v>22006.962118504453</v>
      </c>
      <c r="E194" s="69">
        <f t="shared" si="17"/>
        <v>1389793.2413257267</v>
      </c>
      <c r="H194" s="68">
        <v>180</v>
      </c>
      <c r="I194" s="73">
        <f t="shared" si="20"/>
        <v>35088.763869785347</v>
      </c>
      <c r="J194" s="73">
        <f t="shared" si="21"/>
        <v>3389.3267868152116</v>
      </c>
      <c r="K194" s="73">
        <f t="shared" si="18"/>
        <v>31699.437082970137</v>
      </c>
      <c r="L194" s="69">
        <f t="shared" si="19"/>
        <v>2001896.6350061568</v>
      </c>
    </row>
    <row r="195" spans="1:12" ht="14.25" customHeight="1" x14ac:dyDescent="0.2">
      <c r="A195" s="68">
        <v>181</v>
      </c>
      <c r="B195" s="73">
        <f t="shared" si="0"/>
        <v>24359.962457578171</v>
      </c>
      <c r="C195" s="73">
        <f t="shared" si="7"/>
        <v>2316.3220688762112</v>
      </c>
      <c r="D195" s="73">
        <f t="shared" si="1"/>
        <v>22043.640388701959</v>
      </c>
      <c r="E195" s="69">
        <f t="shared" si="17"/>
        <v>1367749.6009370247</v>
      </c>
      <c r="H195" s="68">
        <v>181</v>
      </c>
      <c r="I195" s="73">
        <f t="shared" si="20"/>
        <v>35088.763869785347</v>
      </c>
      <c r="J195" s="73">
        <f t="shared" si="21"/>
        <v>3336.494391676928</v>
      </c>
      <c r="K195" s="73">
        <f t="shared" si="18"/>
        <v>31752.269478108421</v>
      </c>
      <c r="L195" s="69">
        <f t="shared" si="19"/>
        <v>1970144.3655280482</v>
      </c>
    </row>
    <row r="196" spans="1:12" ht="14.25" customHeight="1" x14ac:dyDescent="0.2">
      <c r="A196" s="68">
        <v>182</v>
      </c>
      <c r="B196" s="73">
        <f t="shared" si="0"/>
        <v>24359.962457578171</v>
      </c>
      <c r="C196" s="73">
        <f t="shared" si="7"/>
        <v>2279.5826682283746</v>
      </c>
      <c r="D196" s="73">
        <f t="shared" si="1"/>
        <v>22080.379789349798</v>
      </c>
      <c r="E196" s="69">
        <f t="shared" si="17"/>
        <v>1345669.2211476748</v>
      </c>
      <c r="H196" s="68">
        <v>182</v>
      </c>
      <c r="I196" s="73">
        <f t="shared" si="20"/>
        <v>35088.763869785347</v>
      </c>
      <c r="J196" s="73">
        <f t="shared" si="21"/>
        <v>3283.5739425467473</v>
      </c>
      <c r="K196" s="73">
        <f t="shared" si="18"/>
        <v>31805.1899272386</v>
      </c>
      <c r="L196" s="69">
        <f t="shared" si="19"/>
        <v>1938339.1756008097</v>
      </c>
    </row>
    <row r="197" spans="1:12" ht="14.25" customHeight="1" x14ac:dyDescent="0.2">
      <c r="A197" s="68">
        <v>183</v>
      </c>
      <c r="B197" s="73">
        <f t="shared" si="0"/>
        <v>24359.962457578171</v>
      </c>
      <c r="C197" s="73">
        <f t="shared" si="7"/>
        <v>2242.7820352461249</v>
      </c>
      <c r="D197" s="73">
        <f t="shared" si="1"/>
        <v>22117.180422332047</v>
      </c>
      <c r="E197" s="69">
        <f t="shared" si="17"/>
        <v>1323552.0407253427</v>
      </c>
      <c r="H197" s="68">
        <v>183</v>
      </c>
      <c r="I197" s="73">
        <f t="shared" si="20"/>
        <v>35088.763869785347</v>
      </c>
      <c r="J197" s="73">
        <f t="shared" si="21"/>
        <v>3230.5652926680164</v>
      </c>
      <c r="K197" s="73">
        <f t="shared" si="18"/>
        <v>31858.198577117331</v>
      </c>
      <c r="L197" s="69">
        <f t="shared" si="19"/>
        <v>1906480.9770236923</v>
      </c>
    </row>
    <row r="198" spans="1:12" ht="14.25" customHeight="1" x14ac:dyDescent="0.2">
      <c r="A198" s="68">
        <v>184</v>
      </c>
      <c r="B198" s="73">
        <f t="shared" si="0"/>
        <v>24359.962457578171</v>
      </c>
      <c r="C198" s="73">
        <f t="shared" si="7"/>
        <v>2205.9200678755715</v>
      </c>
      <c r="D198" s="73">
        <f t="shared" si="1"/>
        <v>22154.042389702598</v>
      </c>
      <c r="E198" s="69">
        <f t="shared" si="17"/>
        <v>1301397.9983356402</v>
      </c>
      <c r="H198" s="68">
        <v>184</v>
      </c>
      <c r="I198" s="73">
        <f t="shared" si="20"/>
        <v>35088.763869785347</v>
      </c>
      <c r="J198" s="73">
        <f t="shared" si="21"/>
        <v>3177.4682950394877</v>
      </c>
      <c r="K198" s="73">
        <f t="shared" si="18"/>
        <v>31911.295574745858</v>
      </c>
      <c r="L198" s="69">
        <f t="shared" si="19"/>
        <v>1874569.6814489465</v>
      </c>
    </row>
    <row r="199" spans="1:12" ht="14.25" customHeight="1" x14ac:dyDescent="0.2">
      <c r="A199" s="68">
        <v>185</v>
      </c>
      <c r="B199" s="73">
        <f t="shared" si="0"/>
        <v>24359.962457578171</v>
      </c>
      <c r="C199" s="73">
        <f t="shared" si="7"/>
        <v>2168.996663892734</v>
      </c>
      <c r="D199" s="73">
        <f t="shared" si="1"/>
        <v>22190.965793685438</v>
      </c>
      <c r="E199" s="69">
        <f t="shared" si="17"/>
        <v>1279207.0325419547</v>
      </c>
      <c r="H199" s="68">
        <v>185</v>
      </c>
      <c r="I199" s="73">
        <f t="shared" si="20"/>
        <v>35088.763869785347</v>
      </c>
      <c r="J199" s="73">
        <f t="shared" si="21"/>
        <v>3124.2828024149112</v>
      </c>
      <c r="K199" s="73">
        <f t="shared" si="18"/>
        <v>31964.481067370434</v>
      </c>
      <c r="L199" s="69">
        <f t="shared" si="19"/>
        <v>1842605.2003815761</v>
      </c>
    </row>
    <row r="200" spans="1:12" ht="14.25" customHeight="1" x14ac:dyDescent="0.2">
      <c r="A200" s="68">
        <v>186</v>
      </c>
      <c r="B200" s="73">
        <f t="shared" si="0"/>
        <v>24359.962457578171</v>
      </c>
      <c r="C200" s="73">
        <f t="shared" si="7"/>
        <v>2132.0117209032578</v>
      </c>
      <c r="D200" s="73">
        <f t="shared" si="1"/>
        <v>22227.950736674913</v>
      </c>
      <c r="E200" s="69">
        <f t="shared" si="17"/>
        <v>1256979.0818052797</v>
      </c>
      <c r="H200" s="68">
        <v>186</v>
      </c>
      <c r="I200" s="73">
        <f t="shared" si="20"/>
        <v>35088.763869785347</v>
      </c>
      <c r="J200" s="73">
        <f t="shared" si="21"/>
        <v>3071.0086673026271</v>
      </c>
      <c r="K200" s="73">
        <f t="shared" si="18"/>
        <v>32017.75520248272</v>
      </c>
      <c r="L200" s="69">
        <f t="shared" si="19"/>
        <v>1810587.4451790934</v>
      </c>
    </row>
    <row r="201" spans="1:12" ht="14.25" customHeight="1" x14ac:dyDescent="0.2">
      <c r="A201" s="68">
        <v>187</v>
      </c>
      <c r="B201" s="73">
        <f t="shared" si="0"/>
        <v>24359.962457578171</v>
      </c>
      <c r="C201" s="73">
        <f t="shared" si="7"/>
        <v>2094.9651363421331</v>
      </c>
      <c r="D201" s="73">
        <f t="shared" si="1"/>
        <v>22264.997321236038</v>
      </c>
      <c r="E201" s="69">
        <f t="shared" si="17"/>
        <v>1234714.0844840438</v>
      </c>
      <c r="H201" s="68">
        <v>187</v>
      </c>
      <c r="I201" s="73">
        <f t="shared" si="20"/>
        <v>35088.763869785347</v>
      </c>
      <c r="J201" s="73">
        <f t="shared" si="21"/>
        <v>3017.645741965156</v>
      </c>
      <c r="K201" s="73">
        <f t="shared" si="18"/>
        <v>32071.118127820191</v>
      </c>
      <c r="L201" s="69">
        <f t="shared" si="19"/>
        <v>1778516.3270512733</v>
      </c>
    </row>
    <row r="202" spans="1:12" ht="14.25" customHeight="1" x14ac:dyDescent="0.2">
      <c r="A202" s="68">
        <v>188</v>
      </c>
      <c r="B202" s="73">
        <f t="shared" si="0"/>
        <v>24359.962457578171</v>
      </c>
      <c r="C202" s="73">
        <f t="shared" si="7"/>
        <v>2057.8568074734062</v>
      </c>
      <c r="D202" s="73">
        <f t="shared" si="1"/>
        <v>22302.105650104764</v>
      </c>
      <c r="E202" s="69">
        <f t="shared" si="17"/>
        <v>1212411.9788339389</v>
      </c>
      <c r="H202" s="68">
        <v>188</v>
      </c>
      <c r="I202" s="73">
        <f t="shared" si="20"/>
        <v>35088.763869785347</v>
      </c>
      <c r="J202" s="73">
        <f t="shared" si="21"/>
        <v>2964.1938784187892</v>
      </c>
      <c r="K202" s="73">
        <f t="shared" si="18"/>
        <v>32124.569991366559</v>
      </c>
      <c r="L202" s="69">
        <f t="shared" si="19"/>
        <v>1746391.7570599068</v>
      </c>
    </row>
    <row r="203" spans="1:12" ht="14.25" customHeight="1" x14ac:dyDescent="0.2">
      <c r="A203" s="68">
        <v>189</v>
      </c>
      <c r="B203" s="73">
        <f t="shared" si="0"/>
        <v>24359.962457578171</v>
      </c>
      <c r="C203" s="73">
        <f t="shared" si="7"/>
        <v>2020.6866313898984</v>
      </c>
      <c r="D203" s="73">
        <f t="shared" si="1"/>
        <v>22339.275826188274</v>
      </c>
      <c r="E203" s="69">
        <f t="shared" si="17"/>
        <v>1190072.7030077507</v>
      </c>
      <c r="H203" s="68">
        <v>189</v>
      </c>
      <c r="I203" s="73">
        <f t="shared" si="20"/>
        <v>35088.763869785347</v>
      </c>
      <c r="J203" s="73">
        <f t="shared" si="21"/>
        <v>2910.6529284331782</v>
      </c>
      <c r="K203" s="73">
        <f t="shared" si="18"/>
        <v>32178.11094135217</v>
      </c>
      <c r="L203" s="69">
        <f t="shared" si="19"/>
        <v>1714213.6461185548</v>
      </c>
    </row>
    <row r="204" spans="1:12" ht="14.25" customHeight="1" x14ac:dyDescent="0.2">
      <c r="A204" s="68">
        <v>190</v>
      </c>
      <c r="B204" s="73">
        <f t="shared" si="0"/>
        <v>24359.962457578171</v>
      </c>
      <c r="C204" s="73">
        <f t="shared" si="7"/>
        <v>1983.4545050129179</v>
      </c>
      <c r="D204" s="73">
        <f t="shared" si="1"/>
        <v>22376.507952565255</v>
      </c>
      <c r="E204" s="69">
        <f t="shared" si="17"/>
        <v>1167696.1950551854</v>
      </c>
      <c r="H204" s="68">
        <v>190</v>
      </c>
      <c r="I204" s="73">
        <f t="shared" si="20"/>
        <v>35088.763869785347</v>
      </c>
      <c r="J204" s="73">
        <f t="shared" si="21"/>
        <v>2857.0227435309248</v>
      </c>
      <c r="K204" s="73">
        <f t="shared" si="18"/>
        <v>32231.741126254423</v>
      </c>
      <c r="L204" s="69">
        <f t="shared" si="19"/>
        <v>1681981.9049923003</v>
      </c>
    </row>
    <row r="205" spans="1:12" ht="14.25" customHeight="1" x14ac:dyDescent="0.2">
      <c r="A205" s="68">
        <v>191</v>
      </c>
      <c r="B205" s="73">
        <f t="shared" si="0"/>
        <v>24359.962457578171</v>
      </c>
      <c r="C205" s="73">
        <f t="shared" si="7"/>
        <v>1946.1603250919757</v>
      </c>
      <c r="D205" s="73">
        <f t="shared" si="1"/>
        <v>22413.802132486195</v>
      </c>
      <c r="E205" s="69">
        <f t="shared" si="17"/>
        <v>1145282.3929226992</v>
      </c>
      <c r="H205" s="68">
        <v>191</v>
      </c>
      <c r="I205" s="73">
        <f t="shared" si="20"/>
        <v>35088.763869785347</v>
      </c>
      <c r="J205" s="73">
        <f t="shared" si="21"/>
        <v>2803.3031749871675</v>
      </c>
      <c r="K205" s="73">
        <f t="shared" si="18"/>
        <v>32285.460694798181</v>
      </c>
      <c r="L205" s="69">
        <f t="shared" si="19"/>
        <v>1649696.4442975021</v>
      </c>
    </row>
    <row r="206" spans="1:12" ht="14.25" customHeight="1" x14ac:dyDescent="0.2">
      <c r="A206" s="68">
        <v>192</v>
      </c>
      <c r="B206" s="73">
        <f t="shared" si="0"/>
        <v>24359.962457578171</v>
      </c>
      <c r="C206" s="73">
        <f t="shared" si="7"/>
        <v>1908.8039882044989</v>
      </c>
      <c r="D206" s="73">
        <f t="shared" si="1"/>
        <v>22451.158469373673</v>
      </c>
      <c r="E206" s="69">
        <f t="shared" si="17"/>
        <v>1122831.2344533256</v>
      </c>
      <c r="H206" s="68">
        <v>192</v>
      </c>
      <c r="I206" s="73">
        <f t="shared" si="20"/>
        <v>35088.763869785347</v>
      </c>
      <c r="J206" s="73">
        <f t="shared" si="21"/>
        <v>2749.4940738291702</v>
      </c>
      <c r="K206" s="73">
        <f t="shared" si="18"/>
        <v>32339.269795956177</v>
      </c>
      <c r="L206" s="69">
        <f t="shared" si="19"/>
        <v>1617357.174501546</v>
      </c>
    </row>
    <row r="207" spans="1:12" ht="14.25" customHeight="1" x14ac:dyDescent="0.2">
      <c r="A207" s="68">
        <v>193</v>
      </c>
      <c r="B207" s="73">
        <f t="shared" si="0"/>
        <v>24359.962457578171</v>
      </c>
      <c r="C207" s="73">
        <f t="shared" si="7"/>
        <v>1871.3853907555429</v>
      </c>
      <c r="D207" s="73">
        <f t="shared" si="1"/>
        <v>22488.577066822629</v>
      </c>
      <c r="E207" s="69">
        <f t="shared" ref="E207:E254" si="22">E206-D207</f>
        <v>1100342.6573865029</v>
      </c>
      <c r="H207" s="68">
        <v>193</v>
      </c>
      <c r="I207" s="73">
        <f t="shared" si="20"/>
        <v>35088.763869785347</v>
      </c>
      <c r="J207" s="73">
        <f t="shared" si="21"/>
        <v>2695.59529083591</v>
      </c>
      <c r="K207" s="73">
        <f t="shared" ref="K207:K254" si="23">I207-J207</f>
        <v>32393.168578949437</v>
      </c>
      <c r="L207" s="69">
        <f t="shared" ref="L207:L254" si="24">L206-K207</f>
        <v>1584964.0059225964</v>
      </c>
    </row>
    <row r="208" spans="1:12" ht="14.25" customHeight="1" x14ac:dyDescent="0.2">
      <c r="A208" s="68">
        <v>194</v>
      </c>
      <c r="B208" s="73">
        <f t="shared" si="0"/>
        <v>24359.962457578171</v>
      </c>
      <c r="C208" s="73">
        <f t="shared" si="7"/>
        <v>1833.9044289775049</v>
      </c>
      <c r="D208" s="73">
        <f t="shared" si="1"/>
        <v>22526.058028600666</v>
      </c>
      <c r="E208" s="69">
        <f t="shared" si="22"/>
        <v>1077816.5993579023</v>
      </c>
      <c r="H208" s="68">
        <v>194</v>
      </c>
      <c r="I208" s="73">
        <f t="shared" ref="I208:I254" si="25">PMT($J$7,$J$8,-$J$6,0,)</f>
        <v>35088.763869785347</v>
      </c>
      <c r="J208" s="73">
        <f t="shared" ref="J208:J254" si="26">L207*$C$7</f>
        <v>2641.6066765376609</v>
      </c>
      <c r="K208" s="73">
        <f t="shared" si="23"/>
        <v>32447.157193247687</v>
      </c>
      <c r="L208" s="69">
        <f t="shared" si="24"/>
        <v>1552516.8487293487</v>
      </c>
    </row>
    <row r="209" spans="1:12" ht="14.25" customHeight="1" x14ac:dyDescent="0.2">
      <c r="A209" s="68">
        <v>195</v>
      </c>
      <c r="B209" s="73">
        <f t="shared" si="0"/>
        <v>24359.962457578171</v>
      </c>
      <c r="C209" s="73">
        <f t="shared" si="7"/>
        <v>1796.3609989298373</v>
      </c>
      <c r="D209" s="73">
        <f t="shared" si="1"/>
        <v>22563.601458648332</v>
      </c>
      <c r="E209" s="69">
        <f t="shared" si="22"/>
        <v>1055252.9978992541</v>
      </c>
      <c r="H209" s="68">
        <v>195</v>
      </c>
      <c r="I209" s="73">
        <f t="shared" si="25"/>
        <v>35088.763869785347</v>
      </c>
      <c r="J209" s="73">
        <f t="shared" si="26"/>
        <v>2587.5280812155816</v>
      </c>
      <c r="K209" s="73">
        <f t="shared" si="23"/>
        <v>32501.235788569764</v>
      </c>
      <c r="L209" s="69">
        <f t="shared" si="24"/>
        <v>1520015.612940779</v>
      </c>
    </row>
    <row r="210" spans="1:12" ht="14.25" customHeight="1" x14ac:dyDescent="0.2">
      <c r="A210" s="68">
        <v>196</v>
      </c>
      <c r="B210" s="73">
        <f t="shared" si="0"/>
        <v>24359.962457578171</v>
      </c>
      <c r="C210" s="73">
        <f t="shared" si="7"/>
        <v>1758.754996498757</v>
      </c>
      <c r="D210" s="73">
        <f t="shared" si="1"/>
        <v>22601.207461079415</v>
      </c>
      <c r="E210" s="69">
        <f t="shared" si="22"/>
        <v>1032651.7904381746</v>
      </c>
      <c r="H210" s="68">
        <v>196</v>
      </c>
      <c r="I210" s="73">
        <f t="shared" si="25"/>
        <v>35088.763869785347</v>
      </c>
      <c r="J210" s="73">
        <f t="shared" si="26"/>
        <v>2533.3593549012985</v>
      </c>
      <c r="K210" s="73">
        <f t="shared" si="23"/>
        <v>32555.404514884049</v>
      </c>
      <c r="L210" s="69">
        <f t="shared" si="24"/>
        <v>1487460.2084258948</v>
      </c>
    </row>
    <row r="211" spans="1:12" ht="14.25" customHeight="1" x14ac:dyDescent="0.2">
      <c r="A211" s="68">
        <v>197</v>
      </c>
      <c r="B211" s="73">
        <f t="shared" si="0"/>
        <v>24359.962457578171</v>
      </c>
      <c r="C211" s="73">
        <f t="shared" si="7"/>
        <v>1721.0863173969578</v>
      </c>
      <c r="D211" s="73">
        <f t="shared" si="1"/>
        <v>22638.876140181212</v>
      </c>
      <c r="E211" s="69">
        <f t="shared" si="22"/>
        <v>1010012.9142979934</v>
      </c>
      <c r="H211" s="68">
        <v>197</v>
      </c>
      <c r="I211" s="73">
        <f t="shared" si="25"/>
        <v>35088.763869785347</v>
      </c>
      <c r="J211" s="73">
        <f t="shared" si="26"/>
        <v>2479.1003473764918</v>
      </c>
      <c r="K211" s="73">
        <f t="shared" si="23"/>
        <v>32609.663522408857</v>
      </c>
      <c r="L211" s="69">
        <f t="shared" si="24"/>
        <v>1454850.544903486</v>
      </c>
    </row>
    <row r="212" spans="1:12" ht="14.25" customHeight="1" x14ac:dyDescent="0.2">
      <c r="A212" s="68">
        <v>198</v>
      </c>
      <c r="B212" s="73">
        <f t="shared" si="0"/>
        <v>24359.962457578171</v>
      </c>
      <c r="C212" s="73">
        <f t="shared" si="7"/>
        <v>1683.3548571633225</v>
      </c>
      <c r="D212" s="73">
        <f t="shared" si="1"/>
        <v>22676.607600414849</v>
      </c>
      <c r="E212" s="69">
        <f t="shared" si="22"/>
        <v>987336.30669757852</v>
      </c>
      <c r="H212" s="68">
        <v>198</v>
      </c>
      <c r="I212" s="73">
        <f t="shared" si="25"/>
        <v>35088.763869785347</v>
      </c>
      <c r="J212" s="73">
        <f t="shared" si="26"/>
        <v>2424.750908172477</v>
      </c>
      <c r="K212" s="73">
        <f t="shared" si="23"/>
        <v>32664.012961612869</v>
      </c>
      <c r="L212" s="69">
        <f t="shared" si="24"/>
        <v>1422186.5319418733</v>
      </c>
    </row>
    <row r="213" spans="1:12" ht="14.25" customHeight="1" x14ac:dyDescent="0.2">
      <c r="A213" s="68">
        <v>199</v>
      </c>
      <c r="B213" s="73">
        <f t="shared" si="0"/>
        <v>24359.962457578171</v>
      </c>
      <c r="C213" s="73">
        <f t="shared" si="7"/>
        <v>1645.560511162631</v>
      </c>
      <c r="D213" s="73">
        <f t="shared" si="1"/>
        <v>22714.401946415539</v>
      </c>
      <c r="E213" s="69">
        <f t="shared" si="22"/>
        <v>964621.90475116298</v>
      </c>
      <c r="H213" s="68">
        <v>199</v>
      </c>
      <c r="I213" s="73">
        <f t="shared" si="25"/>
        <v>35088.763869785347</v>
      </c>
      <c r="J213" s="73">
        <f t="shared" si="26"/>
        <v>2370.3108865697891</v>
      </c>
      <c r="K213" s="73">
        <f t="shared" si="23"/>
        <v>32718.452983215557</v>
      </c>
      <c r="L213" s="69">
        <f t="shared" si="24"/>
        <v>1389468.0789586578</v>
      </c>
    </row>
    <row r="214" spans="1:12" ht="14.25" customHeight="1" x14ac:dyDescent="0.2">
      <c r="A214" s="68">
        <v>200</v>
      </c>
      <c r="B214" s="73">
        <f t="shared" si="0"/>
        <v>24359.962457578171</v>
      </c>
      <c r="C214" s="73">
        <f t="shared" si="7"/>
        <v>1607.7031745852717</v>
      </c>
      <c r="D214" s="73">
        <f t="shared" si="1"/>
        <v>22752.259282992898</v>
      </c>
      <c r="E214" s="69">
        <f t="shared" si="22"/>
        <v>941869.64546817006</v>
      </c>
      <c r="H214" s="68">
        <v>200</v>
      </c>
      <c r="I214" s="73">
        <f t="shared" si="25"/>
        <v>35088.763869785347</v>
      </c>
      <c r="J214" s="73">
        <f t="shared" si="26"/>
        <v>2315.7801315977631</v>
      </c>
      <c r="K214" s="73">
        <f t="shared" si="23"/>
        <v>32772.983738187584</v>
      </c>
      <c r="L214" s="69">
        <f t="shared" si="24"/>
        <v>1356695.0952204703</v>
      </c>
    </row>
    <row r="215" spans="1:12" ht="14.25" customHeight="1" x14ac:dyDescent="0.2">
      <c r="A215" s="68">
        <v>201</v>
      </c>
      <c r="B215" s="73">
        <f t="shared" si="0"/>
        <v>24359.962457578171</v>
      </c>
      <c r="C215" s="73">
        <f t="shared" si="7"/>
        <v>1569.7827424469501</v>
      </c>
      <c r="D215" s="73">
        <f t="shared" si="1"/>
        <v>22790.17971513122</v>
      </c>
      <c r="E215" s="69">
        <f t="shared" si="22"/>
        <v>919079.46575303888</v>
      </c>
      <c r="H215" s="68">
        <v>201</v>
      </c>
      <c r="I215" s="73">
        <f t="shared" si="25"/>
        <v>35088.763869785347</v>
      </c>
      <c r="J215" s="73">
        <f t="shared" si="26"/>
        <v>2261.1584920341174</v>
      </c>
      <c r="K215" s="73">
        <f t="shared" si="23"/>
        <v>32827.605377751228</v>
      </c>
      <c r="L215" s="69">
        <f t="shared" si="24"/>
        <v>1323867.4898427192</v>
      </c>
    </row>
    <row r="216" spans="1:12" ht="14.25" customHeight="1" x14ac:dyDescent="0.2">
      <c r="A216" s="68">
        <v>202</v>
      </c>
      <c r="B216" s="73">
        <f t="shared" si="0"/>
        <v>24359.962457578171</v>
      </c>
      <c r="C216" s="73">
        <f t="shared" si="7"/>
        <v>1531.7991095883983</v>
      </c>
      <c r="D216" s="73">
        <f t="shared" si="1"/>
        <v>22828.163347989772</v>
      </c>
      <c r="E216" s="69">
        <f t="shared" si="22"/>
        <v>896251.30240504909</v>
      </c>
      <c r="H216" s="68">
        <v>202</v>
      </c>
      <c r="I216" s="73">
        <f t="shared" si="25"/>
        <v>35088.763869785347</v>
      </c>
      <c r="J216" s="73">
        <f t="shared" si="26"/>
        <v>2206.4458164045323</v>
      </c>
      <c r="K216" s="73">
        <f t="shared" si="23"/>
        <v>32882.318053380812</v>
      </c>
      <c r="L216" s="69">
        <f t="shared" si="24"/>
        <v>1290985.1717893383</v>
      </c>
    </row>
    <row r="217" spans="1:12" ht="14.25" customHeight="1" x14ac:dyDescent="0.2">
      <c r="A217" s="68">
        <v>203</v>
      </c>
      <c r="B217" s="73">
        <f t="shared" si="0"/>
        <v>24359.962457578171</v>
      </c>
      <c r="C217" s="73">
        <f t="shared" si="7"/>
        <v>1493.752170675082</v>
      </c>
      <c r="D217" s="73">
        <f t="shared" si="1"/>
        <v>22866.21028690309</v>
      </c>
      <c r="E217" s="69">
        <f t="shared" si="22"/>
        <v>873385.09211814601</v>
      </c>
      <c r="H217" s="68">
        <v>203</v>
      </c>
      <c r="I217" s="73">
        <f t="shared" si="25"/>
        <v>35088.763869785347</v>
      </c>
      <c r="J217" s="73">
        <f t="shared" si="26"/>
        <v>2151.6419529822306</v>
      </c>
      <c r="K217" s="73">
        <f t="shared" si="23"/>
        <v>32937.121916803117</v>
      </c>
      <c r="L217" s="69">
        <f t="shared" si="24"/>
        <v>1258048.0498725353</v>
      </c>
    </row>
    <row r="218" spans="1:12" ht="14.25" customHeight="1" x14ac:dyDescent="0.2">
      <c r="A218" s="68">
        <v>204</v>
      </c>
      <c r="B218" s="73">
        <f t="shared" si="0"/>
        <v>24359.962457578171</v>
      </c>
      <c r="C218" s="73">
        <f t="shared" si="7"/>
        <v>1455.6418201969102</v>
      </c>
      <c r="D218" s="73">
        <f t="shared" si="1"/>
        <v>22904.320637381261</v>
      </c>
      <c r="E218" s="69">
        <f t="shared" si="22"/>
        <v>850480.77148076473</v>
      </c>
      <c r="H218" s="68">
        <v>204</v>
      </c>
      <c r="I218" s="73">
        <f t="shared" si="25"/>
        <v>35088.763869785347</v>
      </c>
      <c r="J218" s="73">
        <f t="shared" si="26"/>
        <v>2096.7467497875591</v>
      </c>
      <c r="K218" s="73">
        <f t="shared" si="23"/>
        <v>32992.017119997785</v>
      </c>
      <c r="L218" s="69">
        <f t="shared" si="24"/>
        <v>1225056.0327525374</v>
      </c>
    </row>
    <row r="219" spans="1:12" ht="14.25" customHeight="1" x14ac:dyDescent="0.2">
      <c r="A219" s="68">
        <v>205</v>
      </c>
      <c r="B219" s="73">
        <f t="shared" si="0"/>
        <v>24359.962457578171</v>
      </c>
      <c r="C219" s="73">
        <f t="shared" si="7"/>
        <v>1417.4679524679414</v>
      </c>
      <c r="D219" s="73">
        <f t="shared" si="1"/>
        <v>22942.49450511023</v>
      </c>
      <c r="E219" s="69">
        <f t="shared" si="22"/>
        <v>827538.27697565453</v>
      </c>
      <c r="H219" s="68">
        <v>205</v>
      </c>
      <c r="I219" s="73">
        <f t="shared" si="25"/>
        <v>35088.763869785347</v>
      </c>
      <c r="J219" s="73">
        <f t="shared" si="26"/>
        <v>2041.7600545875625</v>
      </c>
      <c r="K219" s="73">
        <f t="shared" si="23"/>
        <v>33047.003815197786</v>
      </c>
      <c r="L219" s="69">
        <f t="shared" si="24"/>
        <v>1192009.0289373395</v>
      </c>
    </row>
    <row r="220" spans="1:12" ht="14.25" customHeight="1" x14ac:dyDescent="0.2">
      <c r="A220" s="68">
        <v>206</v>
      </c>
      <c r="B220" s="73">
        <f t="shared" si="0"/>
        <v>24359.962457578171</v>
      </c>
      <c r="C220" s="73">
        <f t="shared" si="7"/>
        <v>1379.230461626091</v>
      </c>
      <c r="D220" s="73">
        <f t="shared" si="1"/>
        <v>22980.731995952079</v>
      </c>
      <c r="E220" s="69">
        <f t="shared" si="22"/>
        <v>804557.54497970245</v>
      </c>
      <c r="H220" s="68">
        <v>206</v>
      </c>
      <c r="I220" s="73">
        <f t="shared" si="25"/>
        <v>35088.763869785347</v>
      </c>
      <c r="J220" s="73">
        <f t="shared" si="26"/>
        <v>1986.6817148955661</v>
      </c>
      <c r="K220" s="73">
        <f t="shared" si="23"/>
        <v>33102.08215488978</v>
      </c>
      <c r="L220" s="69">
        <f t="shared" si="24"/>
        <v>1158906.9467824497</v>
      </c>
    </row>
    <row r="221" spans="1:12" ht="14.25" customHeight="1" x14ac:dyDescent="0.2">
      <c r="A221" s="68">
        <v>207</v>
      </c>
      <c r="B221" s="73">
        <f t="shared" si="0"/>
        <v>24359.962457578171</v>
      </c>
      <c r="C221" s="73">
        <f t="shared" si="7"/>
        <v>1340.9292416328376</v>
      </c>
      <c r="D221" s="73">
        <f t="shared" si="1"/>
        <v>23019.033215945332</v>
      </c>
      <c r="E221" s="69">
        <f t="shared" si="22"/>
        <v>781538.51176375709</v>
      </c>
      <c r="H221" s="68">
        <v>207</v>
      </c>
      <c r="I221" s="73">
        <f t="shared" si="25"/>
        <v>35088.763869785347</v>
      </c>
      <c r="J221" s="73">
        <f t="shared" si="26"/>
        <v>1931.5115779707496</v>
      </c>
      <c r="K221" s="73">
        <f t="shared" si="23"/>
        <v>33157.252291814599</v>
      </c>
      <c r="L221" s="69">
        <f t="shared" si="24"/>
        <v>1125749.6944906351</v>
      </c>
    </row>
    <row r="222" spans="1:12" ht="14.25" customHeight="1" x14ac:dyDescent="0.2">
      <c r="A222" s="68">
        <v>208</v>
      </c>
      <c r="B222" s="73">
        <f t="shared" si="0"/>
        <v>24359.962457578171</v>
      </c>
      <c r="C222" s="73">
        <f t="shared" si="7"/>
        <v>1302.5641862729285</v>
      </c>
      <c r="D222" s="73">
        <f t="shared" si="1"/>
        <v>23057.398271305243</v>
      </c>
      <c r="E222" s="69">
        <f t="shared" si="22"/>
        <v>758481.11349245184</v>
      </c>
      <c r="H222" s="68">
        <v>208</v>
      </c>
      <c r="I222" s="73">
        <f t="shared" si="25"/>
        <v>35088.763869785347</v>
      </c>
      <c r="J222" s="73">
        <f t="shared" si="26"/>
        <v>1876.2494908177252</v>
      </c>
      <c r="K222" s="73">
        <f t="shared" si="23"/>
        <v>33212.514378967622</v>
      </c>
      <c r="L222" s="69">
        <f t="shared" si="24"/>
        <v>1092537.1801116674</v>
      </c>
    </row>
    <row r="223" spans="1:12" ht="14.25" customHeight="1" x14ac:dyDescent="0.2">
      <c r="A223" s="68">
        <v>209</v>
      </c>
      <c r="B223" s="73">
        <f t="shared" si="0"/>
        <v>24359.962457578171</v>
      </c>
      <c r="C223" s="73">
        <f t="shared" si="7"/>
        <v>1264.1351891540864</v>
      </c>
      <c r="D223" s="73">
        <f t="shared" si="1"/>
        <v>23095.827268424084</v>
      </c>
      <c r="E223" s="69">
        <f t="shared" si="22"/>
        <v>735385.28622402775</v>
      </c>
      <c r="H223" s="68">
        <v>209</v>
      </c>
      <c r="I223" s="73">
        <f t="shared" si="25"/>
        <v>35088.763869785347</v>
      </c>
      <c r="J223" s="73">
        <f t="shared" si="26"/>
        <v>1820.8953001861123</v>
      </c>
      <c r="K223" s="73">
        <f t="shared" si="23"/>
        <v>33267.868569599232</v>
      </c>
      <c r="L223" s="69">
        <f t="shared" si="24"/>
        <v>1059269.3115420681</v>
      </c>
    </row>
    <row r="224" spans="1:12" ht="14.25" customHeight="1" x14ac:dyDescent="0.2">
      <c r="A224" s="68">
        <v>210</v>
      </c>
      <c r="B224" s="73">
        <f t="shared" si="0"/>
        <v>24359.962457578171</v>
      </c>
      <c r="C224" s="73">
        <f t="shared" si="7"/>
        <v>1225.6421437067129</v>
      </c>
      <c r="D224" s="73">
        <f t="shared" si="1"/>
        <v>23134.32031387146</v>
      </c>
      <c r="E224" s="69">
        <f t="shared" si="22"/>
        <v>712250.96591015626</v>
      </c>
      <c r="H224" s="68">
        <v>210</v>
      </c>
      <c r="I224" s="73">
        <f t="shared" si="25"/>
        <v>35088.763869785347</v>
      </c>
      <c r="J224" s="73">
        <f t="shared" si="26"/>
        <v>1765.4488525701138</v>
      </c>
      <c r="K224" s="73">
        <f t="shared" si="23"/>
        <v>33323.315017215231</v>
      </c>
      <c r="L224" s="69">
        <f t="shared" si="24"/>
        <v>1025945.9965248529</v>
      </c>
    </row>
    <row r="225" spans="1:12" ht="14.25" customHeight="1" x14ac:dyDescent="0.2">
      <c r="A225" s="68">
        <v>211</v>
      </c>
      <c r="B225" s="73">
        <f t="shared" si="0"/>
        <v>24359.962457578171</v>
      </c>
      <c r="C225" s="73">
        <f t="shared" si="7"/>
        <v>1187.0849431835939</v>
      </c>
      <c r="D225" s="73">
        <f t="shared" si="1"/>
        <v>23172.877514394579</v>
      </c>
      <c r="E225" s="69">
        <f t="shared" si="22"/>
        <v>689078.08839576168</v>
      </c>
      <c r="H225" s="68">
        <v>211</v>
      </c>
      <c r="I225" s="73">
        <f t="shared" si="25"/>
        <v>35088.763869785347</v>
      </c>
      <c r="J225" s="73">
        <f t="shared" si="26"/>
        <v>1709.9099942080884</v>
      </c>
      <c r="K225" s="73">
        <f t="shared" si="23"/>
        <v>33378.853875577261</v>
      </c>
      <c r="L225" s="69">
        <f t="shared" si="24"/>
        <v>992567.14264927572</v>
      </c>
    </row>
    <row r="226" spans="1:12" ht="14.25" customHeight="1" x14ac:dyDescent="0.2">
      <c r="A226" s="68">
        <v>212</v>
      </c>
      <c r="B226" s="73">
        <f t="shared" si="0"/>
        <v>24359.962457578171</v>
      </c>
      <c r="C226" s="73">
        <f t="shared" si="7"/>
        <v>1148.463480659603</v>
      </c>
      <c r="D226" s="73">
        <f t="shared" si="1"/>
        <v>23211.498976918567</v>
      </c>
      <c r="E226" s="69">
        <f t="shared" si="22"/>
        <v>665866.58941884316</v>
      </c>
      <c r="H226" s="68">
        <v>212</v>
      </c>
      <c r="I226" s="73">
        <f t="shared" si="25"/>
        <v>35088.763869785347</v>
      </c>
      <c r="J226" s="73">
        <f t="shared" si="26"/>
        <v>1654.2785710821263</v>
      </c>
      <c r="K226" s="73">
        <f t="shared" si="23"/>
        <v>33434.485298703221</v>
      </c>
      <c r="L226" s="69">
        <f t="shared" si="24"/>
        <v>959132.65735057252</v>
      </c>
    </row>
    <row r="227" spans="1:12" ht="14.25" customHeight="1" x14ac:dyDescent="0.2">
      <c r="A227" s="68">
        <v>213</v>
      </c>
      <c r="B227" s="73">
        <f t="shared" si="0"/>
        <v>24359.962457578171</v>
      </c>
      <c r="C227" s="73">
        <f t="shared" si="7"/>
        <v>1109.7776490314054</v>
      </c>
      <c r="D227" s="73">
        <f t="shared" si="1"/>
        <v>23250.184808546765</v>
      </c>
      <c r="E227" s="69">
        <f t="shared" si="22"/>
        <v>642616.40461029636</v>
      </c>
      <c r="H227" s="68">
        <v>213</v>
      </c>
      <c r="I227" s="73">
        <f t="shared" si="25"/>
        <v>35088.763869785347</v>
      </c>
      <c r="J227" s="73">
        <f t="shared" si="26"/>
        <v>1598.554428917621</v>
      </c>
      <c r="K227" s="73">
        <f t="shared" si="23"/>
        <v>33490.209440867729</v>
      </c>
      <c r="L227" s="69">
        <f t="shared" si="24"/>
        <v>925642.44790970476</v>
      </c>
    </row>
    <row r="228" spans="1:12" ht="14.25" customHeight="1" x14ac:dyDescent="0.2">
      <c r="A228" s="68">
        <v>214</v>
      </c>
      <c r="B228" s="73">
        <f t="shared" si="0"/>
        <v>24359.962457578171</v>
      </c>
      <c r="C228" s="73">
        <f t="shared" si="7"/>
        <v>1071.0273410171608</v>
      </c>
      <c r="D228" s="73">
        <f t="shared" si="1"/>
        <v>23288.93511656101</v>
      </c>
      <c r="E228" s="69">
        <f t="shared" si="22"/>
        <v>619327.46949373535</v>
      </c>
      <c r="H228" s="68">
        <v>214</v>
      </c>
      <c r="I228" s="73">
        <f t="shared" si="25"/>
        <v>35088.763869785347</v>
      </c>
      <c r="J228" s="73">
        <f t="shared" si="26"/>
        <v>1542.7374131828415</v>
      </c>
      <c r="K228" s="73">
        <f t="shared" si="23"/>
        <v>33546.026456602507</v>
      </c>
      <c r="L228" s="69">
        <f t="shared" si="24"/>
        <v>892096.42145310226</v>
      </c>
    </row>
    <row r="229" spans="1:12" ht="14.25" customHeight="1" x14ac:dyDescent="0.2">
      <c r="A229" s="68">
        <v>215</v>
      </c>
      <c r="B229" s="73">
        <f t="shared" si="0"/>
        <v>24359.962457578171</v>
      </c>
      <c r="C229" s="73">
        <f t="shared" si="7"/>
        <v>1032.2124491562256</v>
      </c>
      <c r="D229" s="73">
        <f t="shared" si="1"/>
        <v>23327.750008421946</v>
      </c>
      <c r="E229" s="69">
        <f t="shared" si="22"/>
        <v>595999.7194853134</v>
      </c>
      <c r="H229" s="68">
        <v>215</v>
      </c>
      <c r="I229" s="73">
        <f t="shared" si="25"/>
        <v>35088.763869785347</v>
      </c>
      <c r="J229" s="73">
        <f t="shared" si="26"/>
        <v>1486.8273690885039</v>
      </c>
      <c r="K229" s="73">
        <f t="shared" si="23"/>
        <v>33601.936500696844</v>
      </c>
      <c r="L229" s="69">
        <f t="shared" si="24"/>
        <v>858494.48495240544</v>
      </c>
    </row>
    <row r="230" spans="1:12" ht="14.25" customHeight="1" x14ac:dyDescent="0.2">
      <c r="A230" s="68">
        <v>216</v>
      </c>
      <c r="B230" s="73">
        <f t="shared" si="0"/>
        <v>24359.962457578171</v>
      </c>
      <c r="C230" s="73">
        <f t="shared" si="7"/>
        <v>993.33286580885567</v>
      </c>
      <c r="D230" s="73">
        <f t="shared" si="1"/>
        <v>23366.629591769317</v>
      </c>
      <c r="E230" s="69">
        <f t="shared" si="22"/>
        <v>572633.08989354409</v>
      </c>
      <c r="H230" s="68">
        <v>216</v>
      </c>
      <c r="I230" s="73">
        <f t="shared" si="25"/>
        <v>35088.763869785347</v>
      </c>
      <c r="J230" s="73">
        <f t="shared" si="26"/>
        <v>1430.8241415873424</v>
      </c>
      <c r="K230" s="73">
        <f t="shared" si="23"/>
        <v>33657.939728198005</v>
      </c>
      <c r="L230" s="69">
        <f t="shared" si="24"/>
        <v>824836.54522420745</v>
      </c>
    </row>
    <row r="231" spans="1:12" ht="14.25" customHeight="1" x14ac:dyDescent="0.2">
      <c r="A231" s="68">
        <v>217</v>
      </c>
      <c r="B231" s="73">
        <f t="shared" si="0"/>
        <v>24359.962457578171</v>
      </c>
      <c r="C231" s="73">
        <f t="shared" si="7"/>
        <v>954.3884831559069</v>
      </c>
      <c r="D231" s="73">
        <f t="shared" si="1"/>
        <v>23405.573974422263</v>
      </c>
      <c r="E231" s="69">
        <f t="shared" si="22"/>
        <v>549227.5159191218</v>
      </c>
      <c r="H231" s="68">
        <v>217</v>
      </c>
      <c r="I231" s="73">
        <f t="shared" si="25"/>
        <v>35088.763869785347</v>
      </c>
      <c r="J231" s="73">
        <f t="shared" si="26"/>
        <v>1374.7275753736792</v>
      </c>
      <c r="K231" s="73">
        <f t="shared" si="23"/>
        <v>33714.036294411671</v>
      </c>
      <c r="L231" s="69">
        <f t="shared" si="24"/>
        <v>791122.50892979582</v>
      </c>
    </row>
    <row r="232" spans="1:12" ht="14.25" customHeight="1" x14ac:dyDescent="0.2">
      <c r="A232" s="68">
        <v>218</v>
      </c>
      <c r="B232" s="73">
        <f t="shared" si="0"/>
        <v>24359.962457578171</v>
      </c>
      <c r="C232" s="73">
        <f t="shared" si="7"/>
        <v>915.37919319853643</v>
      </c>
      <c r="D232" s="73">
        <f t="shared" si="1"/>
        <v>23444.583264379635</v>
      </c>
      <c r="E232" s="69">
        <f t="shared" si="22"/>
        <v>525782.93265474215</v>
      </c>
      <c r="H232" s="68">
        <v>218</v>
      </c>
      <c r="I232" s="73">
        <f t="shared" si="25"/>
        <v>35088.763869785347</v>
      </c>
      <c r="J232" s="73">
        <f t="shared" si="26"/>
        <v>1318.537514882993</v>
      </c>
      <c r="K232" s="73">
        <f t="shared" si="23"/>
        <v>33770.226354902356</v>
      </c>
      <c r="L232" s="69">
        <f t="shared" si="24"/>
        <v>757352.28257489344</v>
      </c>
    </row>
    <row r="233" spans="1:12" ht="14.25" customHeight="1" x14ac:dyDescent="0.2">
      <c r="A233" s="68">
        <v>219</v>
      </c>
      <c r="B233" s="73">
        <f t="shared" si="0"/>
        <v>24359.962457578171</v>
      </c>
      <c r="C233" s="73">
        <f t="shared" si="7"/>
        <v>876.30488775790366</v>
      </c>
      <c r="D233" s="73">
        <f t="shared" si="1"/>
        <v>23483.657569820269</v>
      </c>
      <c r="E233" s="69">
        <f t="shared" si="22"/>
        <v>502299.27508492186</v>
      </c>
      <c r="H233" s="68">
        <v>219</v>
      </c>
      <c r="I233" s="73">
        <f t="shared" si="25"/>
        <v>35088.763869785347</v>
      </c>
      <c r="J233" s="73">
        <f t="shared" si="26"/>
        <v>1262.2538042914891</v>
      </c>
      <c r="K233" s="73">
        <f t="shared" si="23"/>
        <v>33826.510065493858</v>
      </c>
      <c r="L233" s="69">
        <f t="shared" si="24"/>
        <v>723525.77250939957</v>
      </c>
    </row>
    <row r="234" spans="1:12" ht="14.25" customHeight="1" x14ac:dyDescent="0.2">
      <c r="A234" s="68">
        <v>220</v>
      </c>
      <c r="B234" s="73">
        <f t="shared" si="0"/>
        <v>24359.962457578171</v>
      </c>
      <c r="C234" s="73">
        <f t="shared" si="7"/>
        <v>837.16545847486987</v>
      </c>
      <c r="D234" s="73">
        <f t="shared" si="1"/>
        <v>23522.796999103302</v>
      </c>
      <c r="E234" s="69">
        <f t="shared" si="22"/>
        <v>478776.47808581858</v>
      </c>
      <c r="H234" s="68">
        <v>220</v>
      </c>
      <c r="I234" s="73">
        <f t="shared" si="25"/>
        <v>35088.763869785347</v>
      </c>
      <c r="J234" s="73">
        <f t="shared" si="26"/>
        <v>1205.876287515666</v>
      </c>
      <c r="K234" s="73">
        <f t="shared" si="23"/>
        <v>33882.887582269679</v>
      </c>
      <c r="L234" s="69">
        <f t="shared" si="24"/>
        <v>689642.88492712984</v>
      </c>
    </row>
    <row r="235" spans="1:12" ht="14.25" customHeight="1" x14ac:dyDescent="0.2">
      <c r="A235" s="68">
        <v>221</v>
      </c>
      <c r="B235" s="73">
        <f t="shared" si="0"/>
        <v>24359.962457578171</v>
      </c>
      <c r="C235" s="73">
        <f t="shared" si="7"/>
        <v>797.96079680969774</v>
      </c>
      <c r="D235" s="73">
        <f t="shared" si="1"/>
        <v>23562.001660768474</v>
      </c>
      <c r="E235" s="69">
        <f t="shared" si="22"/>
        <v>455214.47642505012</v>
      </c>
      <c r="H235" s="68">
        <v>221</v>
      </c>
      <c r="I235" s="73">
        <f t="shared" si="25"/>
        <v>35088.763869785347</v>
      </c>
      <c r="J235" s="73">
        <f t="shared" si="26"/>
        <v>1149.4048082118832</v>
      </c>
      <c r="K235" s="73">
        <f t="shared" si="23"/>
        <v>33939.359061573465</v>
      </c>
      <c r="L235" s="69">
        <f t="shared" si="24"/>
        <v>655703.52586555632</v>
      </c>
    </row>
    <row r="236" spans="1:12" ht="14.25" customHeight="1" x14ac:dyDescent="0.2">
      <c r="A236" s="68">
        <v>222</v>
      </c>
      <c r="B236" s="73">
        <f t="shared" si="0"/>
        <v>24359.962457578171</v>
      </c>
      <c r="C236" s="73">
        <f t="shared" si="7"/>
        <v>758.69079404175022</v>
      </c>
      <c r="D236" s="73">
        <f t="shared" si="1"/>
        <v>23601.27166353642</v>
      </c>
      <c r="E236" s="69">
        <f t="shared" si="22"/>
        <v>431613.20476151368</v>
      </c>
      <c r="H236" s="68">
        <v>222</v>
      </c>
      <c r="I236" s="73">
        <f t="shared" si="25"/>
        <v>35088.763869785347</v>
      </c>
      <c r="J236" s="73">
        <f t="shared" si="26"/>
        <v>1092.8392097759272</v>
      </c>
      <c r="K236" s="73">
        <f t="shared" si="23"/>
        <v>33995.924660009419</v>
      </c>
      <c r="L236" s="69">
        <f t="shared" si="24"/>
        <v>621707.60120554687</v>
      </c>
    </row>
    <row r="237" spans="1:12" ht="14.25" customHeight="1" x14ac:dyDescent="0.2">
      <c r="A237" s="68">
        <v>223</v>
      </c>
      <c r="B237" s="73">
        <f t="shared" si="0"/>
        <v>24359.962457578171</v>
      </c>
      <c r="C237" s="73">
        <f t="shared" si="7"/>
        <v>719.35534126918947</v>
      </c>
      <c r="D237" s="73">
        <f t="shared" si="1"/>
        <v>23640.60711630898</v>
      </c>
      <c r="E237" s="69">
        <f t="shared" si="22"/>
        <v>407972.59764520469</v>
      </c>
      <c r="H237" s="68">
        <v>223</v>
      </c>
      <c r="I237" s="73">
        <f t="shared" si="25"/>
        <v>35088.763869785347</v>
      </c>
      <c r="J237" s="73">
        <f t="shared" si="26"/>
        <v>1036.1793353425783</v>
      </c>
      <c r="K237" s="73">
        <f t="shared" si="23"/>
        <v>34052.584534442765</v>
      </c>
      <c r="L237" s="69">
        <f t="shared" si="24"/>
        <v>587655.01667110412</v>
      </c>
    </row>
    <row r="238" spans="1:12" ht="14.25" customHeight="1" x14ac:dyDescent="0.2">
      <c r="A238" s="68">
        <v>224</v>
      </c>
      <c r="B238" s="73">
        <f t="shared" si="0"/>
        <v>24359.962457578171</v>
      </c>
      <c r="C238" s="73">
        <f t="shared" si="7"/>
        <v>679.95432940867454</v>
      </c>
      <c r="D238" s="73">
        <f t="shared" si="1"/>
        <v>23680.008128169495</v>
      </c>
      <c r="E238" s="69">
        <f t="shared" si="22"/>
        <v>384292.58951703517</v>
      </c>
      <c r="H238" s="68">
        <v>224</v>
      </c>
      <c r="I238" s="73">
        <f t="shared" si="25"/>
        <v>35088.763869785347</v>
      </c>
      <c r="J238" s="73">
        <f t="shared" si="26"/>
        <v>979.4250277851736</v>
      </c>
      <c r="K238" s="73">
        <f t="shared" si="23"/>
        <v>34109.338842000172</v>
      </c>
      <c r="L238" s="69">
        <f t="shared" si="24"/>
        <v>553545.67782910401</v>
      </c>
    </row>
    <row r="239" spans="1:12" ht="14.25" customHeight="1" x14ac:dyDescent="0.2">
      <c r="A239" s="68">
        <v>225</v>
      </c>
      <c r="B239" s="73">
        <f t="shared" si="0"/>
        <v>24359.962457578171</v>
      </c>
      <c r="C239" s="73">
        <f t="shared" si="7"/>
        <v>640.48764919505868</v>
      </c>
      <c r="D239" s="73">
        <f t="shared" si="1"/>
        <v>23719.474808383111</v>
      </c>
      <c r="E239" s="69">
        <f t="shared" si="22"/>
        <v>360573.11470865208</v>
      </c>
      <c r="H239" s="68">
        <v>225</v>
      </c>
      <c r="I239" s="73">
        <f t="shared" si="25"/>
        <v>35088.763869785347</v>
      </c>
      <c r="J239" s="73">
        <f t="shared" si="26"/>
        <v>922.57612971517347</v>
      </c>
      <c r="K239" s="73">
        <f t="shared" si="23"/>
        <v>34166.187740070171</v>
      </c>
      <c r="L239" s="69">
        <f t="shared" si="24"/>
        <v>519379.49008903385</v>
      </c>
    </row>
    <row r="240" spans="1:12" ht="14.25" customHeight="1" x14ac:dyDescent="0.2">
      <c r="A240" s="68">
        <v>226</v>
      </c>
      <c r="B240" s="73">
        <f t="shared" si="0"/>
        <v>24359.962457578171</v>
      </c>
      <c r="C240" s="73">
        <f t="shared" si="7"/>
        <v>600.95519118108689</v>
      </c>
      <c r="D240" s="73">
        <f t="shared" si="1"/>
        <v>23759.007266397082</v>
      </c>
      <c r="E240" s="69">
        <f t="shared" si="22"/>
        <v>336814.10744225502</v>
      </c>
      <c r="H240" s="68">
        <v>226</v>
      </c>
      <c r="I240" s="73">
        <f t="shared" si="25"/>
        <v>35088.763869785347</v>
      </c>
      <c r="J240" s="73">
        <f t="shared" si="26"/>
        <v>865.63248348172317</v>
      </c>
      <c r="K240" s="73">
        <f t="shared" si="23"/>
        <v>34223.131386303627</v>
      </c>
      <c r="L240" s="69">
        <f t="shared" si="24"/>
        <v>485156.35870273021</v>
      </c>
    </row>
    <row r="241" spans="1:12" ht="14.25" customHeight="1" x14ac:dyDescent="0.2">
      <c r="A241" s="68">
        <v>227</v>
      </c>
      <c r="B241" s="73">
        <f t="shared" si="0"/>
        <v>24359.962457578171</v>
      </c>
      <c r="C241" s="73">
        <f t="shared" si="7"/>
        <v>561.3568457370917</v>
      </c>
      <c r="D241" s="73">
        <f t="shared" si="1"/>
        <v>23798.605611841078</v>
      </c>
      <c r="E241" s="69">
        <f t="shared" si="22"/>
        <v>313015.50183041394</v>
      </c>
      <c r="H241" s="68">
        <v>227</v>
      </c>
      <c r="I241" s="73">
        <f t="shared" si="25"/>
        <v>35088.763869785347</v>
      </c>
      <c r="J241" s="73">
        <f t="shared" si="26"/>
        <v>808.59393117121704</v>
      </c>
      <c r="K241" s="73">
        <f t="shared" si="23"/>
        <v>34280.169938614134</v>
      </c>
      <c r="L241" s="69">
        <f t="shared" si="24"/>
        <v>450876.18876411609</v>
      </c>
    </row>
    <row r="242" spans="1:12" ht="14.25" customHeight="1" x14ac:dyDescent="0.2">
      <c r="A242" s="68">
        <v>228</v>
      </c>
      <c r="B242" s="73">
        <f t="shared" si="0"/>
        <v>24359.962457578171</v>
      </c>
      <c r="C242" s="73">
        <f t="shared" si="7"/>
        <v>521.69250305068988</v>
      </c>
      <c r="D242" s="73">
        <f t="shared" si="1"/>
        <v>23838.269954527481</v>
      </c>
      <c r="E242" s="69">
        <f t="shared" si="22"/>
        <v>289177.23187588644</v>
      </c>
      <c r="H242" s="68">
        <v>228</v>
      </c>
      <c r="I242" s="73">
        <f t="shared" si="25"/>
        <v>35088.763869785347</v>
      </c>
      <c r="J242" s="73">
        <f t="shared" si="26"/>
        <v>751.46031460686015</v>
      </c>
      <c r="K242" s="73">
        <f t="shared" si="23"/>
        <v>34337.303555178485</v>
      </c>
      <c r="L242" s="69">
        <f t="shared" si="24"/>
        <v>416538.88520893757</v>
      </c>
    </row>
    <row r="243" spans="1:12" ht="14.25" customHeight="1" x14ac:dyDescent="0.2">
      <c r="A243" s="68">
        <v>229</v>
      </c>
      <c r="B243" s="73">
        <f t="shared" si="0"/>
        <v>24359.962457578171</v>
      </c>
      <c r="C243" s="73">
        <f t="shared" si="7"/>
        <v>481.96205312647743</v>
      </c>
      <c r="D243" s="73">
        <f t="shared" si="1"/>
        <v>23878.000404451694</v>
      </c>
      <c r="E243" s="69">
        <f t="shared" si="22"/>
        <v>265299.23147143476</v>
      </c>
      <c r="H243" s="68">
        <v>229</v>
      </c>
      <c r="I243" s="73">
        <f t="shared" si="25"/>
        <v>35088.763869785347</v>
      </c>
      <c r="J243" s="73">
        <f t="shared" si="26"/>
        <v>694.23147534822931</v>
      </c>
      <c r="K243" s="73">
        <f t="shared" si="23"/>
        <v>34394.532394437119</v>
      </c>
      <c r="L243" s="69">
        <f t="shared" si="24"/>
        <v>382144.35281450045</v>
      </c>
    </row>
    <row r="244" spans="1:12" ht="14.25" customHeight="1" x14ac:dyDescent="0.2">
      <c r="A244" s="68">
        <v>230</v>
      </c>
      <c r="B244" s="73">
        <f t="shared" si="0"/>
        <v>24359.962457578171</v>
      </c>
      <c r="C244" s="73">
        <f t="shared" si="7"/>
        <v>442.16538578572465</v>
      </c>
      <c r="D244" s="73">
        <f t="shared" si="1"/>
        <v>23917.797071792447</v>
      </c>
      <c r="E244" s="69">
        <f t="shared" si="22"/>
        <v>241381.43439964231</v>
      </c>
      <c r="H244" s="68">
        <v>230</v>
      </c>
      <c r="I244" s="73">
        <f t="shared" si="25"/>
        <v>35088.763869785347</v>
      </c>
      <c r="J244" s="73">
        <f t="shared" si="26"/>
        <v>636.90725469083418</v>
      </c>
      <c r="K244" s="73">
        <f t="shared" si="23"/>
        <v>34451.856615094512</v>
      </c>
      <c r="L244" s="69">
        <f t="shared" si="24"/>
        <v>347692.49619940593</v>
      </c>
    </row>
    <row r="245" spans="1:12" ht="14.25" customHeight="1" x14ac:dyDescent="0.2">
      <c r="A245" s="68">
        <v>231</v>
      </c>
      <c r="B245" s="73">
        <f t="shared" si="0"/>
        <v>24359.962457578171</v>
      </c>
      <c r="C245" s="73">
        <f t="shared" si="7"/>
        <v>402.30239066607055</v>
      </c>
      <c r="D245" s="73">
        <f t="shared" si="1"/>
        <v>23957.6600669121</v>
      </c>
      <c r="E245" s="69">
        <f t="shared" si="22"/>
        <v>217423.77433273022</v>
      </c>
      <c r="H245" s="68">
        <v>231</v>
      </c>
      <c r="I245" s="73">
        <f t="shared" si="25"/>
        <v>35088.763869785347</v>
      </c>
      <c r="J245" s="73">
        <f t="shared" si="26"/>
        <v>579.48749366567654</v>
      </c>
      <c r="K245" s="73">
        <f t="shared" si="23"/>
        <v>34509.276376119669</v>
      </c>
      <c r="L245" s="69">
        <f t="shared" si="24"/>
        <v>313183.21982328629</v>
      </c>
    </row>
    <row r="246" spans="1:12" ht="14.25" customHeight="1" x14ac:dyDescent="0.2">
      <c r="A246" s="68">
        <v>232</v>
      </c>
      <c r="B246" s="73">
        <f t="shared" si="0"/>
        <v>24359.962457578171</v>
      </c>
      <c r="C246" s="73">
        <f t="shared" si="7"/>
        <v>362.37295722121706</v>
      </c>
      <c r="D246" s="73">
        <f t="shared" si="1"/>
        <v>23997.589500356953</v>
      </c>
      <c r="E246" s="69">
        <f t="shared" si="22"/>
        <v>193426.18483237326</v>
      </c>
      <c r="H246" s="68">
        <v>232</v>
      </c>
      <c r="I246" s="73">
        <f t="shared" si="25"/>
        <v>35088.763869785347</v>
      </c>
      <c r="J246" s="73">
        <f t="shared" si="26"/>
        <v>521.97203303881054</v>
      </c>
      <c r="K246" s="73">
        <f t="shared" si="23"/>
        <v>34566.791836746539</v>
      </c>
      <c r="L246" s="69">
        <f t="shared" si="24"/>
        <v>278616.42798653973</v>
      </c>
    </row>
    <row r="247" spans="1:12" ht="14.25" customHeight="1" x14ac:dyDescent="0.2">
      <c r="A247" s="68">
        <v>233</v>
      </c>
      <c r="B247" s="73">
        <f t="shared" si="0"/>
        <v>24359.962457578171</v>
      </c>
      <c r="C247" s="73">
        <f t="shared" si="7"/>
        <v>322.37697472062212</v>
      </c>
      <c r="D247" s="73">
        <f t="shared" si="1"/>
        <v>24037.58548285755</v>
      </c>
      <c r="E247" s="69">
        <f t="shared" si="22"/>
        <v>169388.59934951572</v>
      </c>
      <c r="H247" s="68">
        <v>233</v>
      </c>
      <c r="I247" s="73">
        <f t="shared" si="25"/>
        <v>35088.763869785347</v>
      </c>
      <c r="J247" s="73">
        <f t="shared" si="26"/>
        <v>464.3607133108996</v>
      </c>
      <c r="K247" s="73">
        <f t="shared" si="23"/>
        <v>34624.403156474451</v>
      </c>
      <c r="L247" s="69">
        <f t="shared" si="24"/>
        <v>243992.02483006526</v>
      </c>
    </row>
    <row r="248" spans="1:12" ht="14.25" customHeight="1" x14ac:dyDescent="0.2">
      <c r="A248" s="68">
        <v>234</v>
      </c>
      <c r="B248" s="73">
        <f t="shared" si="0"/>
        <v>24359.962457578171</v>
      </c>
      <c r="C248" s="73">
        <f t="shared" si="7"/>
        <v>282.31433224919289</v>
      </c>
      <c r="D248" s="73">
        <f t="shared" si="1"/>
        <v>24077.648125328978</v>
      </c>
      <c r="E248" s="69">
        <f t="shared" si="22"/>
        <v>145310.95122418675</v>
      </c>
      <c r="H248" s="68">
        <v>234</v>
      </c>
      <c r="I248" s="73">
        <f t="shared" si="25"/>
        <v>35088.763869785347</v>
      </c>
      <c r="J248" s="73">
        <f t="shared" si="26"/>
        <v>406.65337471677543</v>
      </c>
      <c r="K248" s="73">
        <f t="shared" si="23"/>
        <v>34682.110495068569</v>
      </c>
      <c r="L248" s="69">
        <f t="shared" si="24"/>
        <v>209309.91433499669</v>
      </c>
    </row>
    <row r="249" spans="1:12" ht="14.25" customHeight="1" x14ac:dyDescent="0.2">
      <c r="A249" s="68">
        <v>235</v>
      </c>
      <c r="B249" s="73">
        <f t="shared" si="0"/>
        <v>24359.962457578171</v>
      </c>
      <c r="C249" s="73">
        <f t="shared" si="7"/>
        <v>242.18491870697792</v>
      </c>
      <c r="D249" s="73">
        <f t="shared" si="1"/>
        <v>24117.777538871193</v>
      </c>
      <c r="E249" s="69">
        <f t="shared" si="22"/>
        <v>121193.17368531556</v>
      </c>
      <c r="H249" s="68">
        <v>235</v>
      </c>
      <c r="I249" s="73">
        <f t="shared" si="25"/>
        <v>35088.763869785347</v>
      </c>
      <c r="J249" s="73">
        <f t="shared" si="26"/>
        <v>348.84985722499448</v>
      </c>
      <c r="K249" s="73">
        <f t="shared" si="23"/>
        <v>34739.914012560352</v>
      </c>
      <c r="L249" s="69">
        <f t="shared" si="24"/>
        <v>174570.00032243633</v>
      </c>
    </row>
    <row r="250" spans="1:12" ht="14.25" customHeight="1" x14ac:dyDescent="0.2">
      <c r="A250" s="68">
        <v>236</v>
      </c>
      <c r="B250" s="73">
        <f t="shared" si="0"/>
        <v>24359.962457578171</v>
      </c>
      <c r="C250" s="73">
        <f t="shared" si="7"/>
        <v>201.98862280885928</v>
      </c>
      <c r="D250" s="73">
        <f t="shared" si="1"/>
        <v>24157.973834769313</v>
      </c>
      <c r="E250" s="69">
        <f t="shared" si="22"/>
        <v>97035.199850546254</v>
      </c>
      <c r="H250" s="68">
        <v>236</v>
      </c>
      <c r="I250" s="73">
        <f t="shared" si="25"/>
        <v>35088.763869785347</v>
      </c>
      <c r="J250" s="73">
        <f t="shared" si="26"/>
        <v>290.95000053739392</v>
      </c>
      <c r="K250" s="73">
        <f t="shared" si="23"/>
        <v>34797.813869247955</v>
      </c>
      <c r="L250" s="69">
        <f t="shared" si="24"/>
        <v>139772.18645318836</v>
      </c>
    </row>
    <row r="251" spans="1:12" ht="14.25" customHeight="1" x14ac:dyDescent="0.2">
      <c r="A251" s="68">
        <v>237</v>
      </c>
      <c r="B251" s="73">
        <f t="shared" si="0"/>
        <v>24359.962457578171</v>
      </c>
      <c r="C251" s="73">
        <f t="shared" si="7"/>
        <v>161.72533308424377</v>
      </c>
      <c r="D251" s="73">
        <f t="shared" si="1"/>
        <v>24198.237124493928</v>
      </c>
      <c r="E251" s="69">
        <f t="shared" si="22"/>
        <v>72836.962726052327</v>
      </c>
      <c r="H251" s="68">
        <v>237</v>
      </c>
      <c r="I251" s="73">
        <f t="shared" si="25"/>
        <v>35088.763869785347</v>
      </c>
      <c r="J251" s="73">
        <f t="shared" si="26"/>
        <v>232.95364408864728</v>
      </c>
      <c r="K251" s="73">
        <f t="shared" si="23"/>
        <v>34855.810225696703</v>
      </c>
      <c r="L251" s="69">
        <f t="shared" si="24"/>
        <v>104916.37622749165</v>
      </c>
    </row>
    <row r="252" spans="1:12" ht="14.25" customHeight="1" x14ac:dyDescent="0.2">
      <c r="A252" s="68">
        <v>238</v>
      </c>
      <c r="B252" s="73">
        <f t="shared" si="0"/>
        <v>24359.962457578171</v>
      </c>
      <c r="C252" s="73">
        <f t="shared" si="7"/>
        <v>121.39493787675389</v>
      </c>
      <c r="D252" s="73">
        <f t="shared" si="1"/>
        <v>24238.567519701417</v>
      </c>
      <c r="E252" s="69">
        <f t="shared" si="22"/>
        <v>48598.395206350906</v>
      </c>
      <c r="H252" s="68">
        <v>238</v>
      </c>
      <c r="I252" s="73">
        <f t="shared" si="25"/>
        <v>35088.763869785347</v>
      </c>
      <c r="J252" s="73">
        <f t="shared" si="26"/>
        <v>174.86062704581943</v>
      </c>
      <c r="K252" s="73">
        <f t="shared" si="23"/>
        <v>34913.903242739529</v>
      </c>
      <c r="L252" s="69">
        <f t="shared" si="24"/>
        <v>70002.472984752123</v>
      </c>
    </row>
    <row r="253" spans="1:12" ht="14.25" customHeight="1" x14ac:dyDescent="0.2">
      <c r="A253" s="68">
        <v>239</v>
      </c>
      <c r="B253" s="73">
        <f t="shared" si="0"/>
        <v>24359.962457578171</v>
      </c>
      <c r="C253" s="73">
        <f t="shared" si="7"/>
        <v>80.997325343918178</v>
      </c>
      <c r="D253" s="73">
        <f t="shared" si="1"/>
        <v>24278.965132234254</v>
      </c>
      <c r="E253" s="69">
        <f t="shared" si="22"/>
        <v>24319.430074116652</v>
      </c>
      <c r="H253" s="68">
        <v>239</v>
      </c>
      <c r="I253" s="73">
        <f t="shared" si="25"/>
        <v>35088.763869785347</v>
      </c>
      <c r="J253" s="73">
        <f t="shared" si="26"/>
        <v>116.67078830792022</v>
      </c>
      <c r="K253" s="73">
        <f t="shared" si="23"/>
        <v>34972.093081477426</v>
      </c>
      <c r="L253" s="69">
        <f t="shared" si="24"/>
        <v>35030.379903274697</v>
      </c>
    </row>
    <row r="254" spans="1:12" ht="14.25" customHeight="1" x14ac:dyDescent="0.2">
      <c r="A254" s="68">
        <v>240</v>
      </c>
      <c r="B254" s="73">
        <f t="shared" si="0"/>
        <v>24359.962457578171</v>
      </c>
      <c r="C254" s="73">
        <f t="shared" si="7"/>
        <v>40.532383456861091</v>
      </c>
      <c r="D254" s="73">
        <f t="shared" si="1"/>
        <v>24319.430074121308</v>
      </c>
      <c r="E254" s="69">
        <f t="shared" si="22"/>
        <v>-4.6566128730773926E-9</v>
      </c>
      <c r="H254" s="68">
        <v>240</v>
      </c>
      <c r="I254" s="73">
        <f t="shared" si="25"/>
        <v>35088.763869785347</v>
      </c>
      <c r="J254" s="73">
        <f t="shared" si="26"/>
        <v>58.383966505457835</v>
      </c>
      <c r="K254" s="73">
        <f t="shared" si="23"/>
        <v>35030.379903279892</v>
      </c>
      <c r="L254" s="69">
        <f t="shared" si="24"/>
        <v>-5.1950337365269661E-9</v>
      </c>
    </row>
    <row r="255" spans="1:12" ht="14.25" customHeight="1" x14ac:dyDescent="0.2">
      <c r="A255" s="68"/>
      <c r="B255" s="73"/>
      <c r="C255" s="73"/>
      <c r="D255" s="73"/>
      <c r="E255" s="69"/>
    </row>
    <row r="256" spans="1:12" ht="14.25" customHeight="1" x14ac:dyDescent="0.2">
      <c r="A256" s="68"/>
      <c r="B256" s="73"/>
      <c r="C256" s="73"/>
      <c r="D256" s="73"/>
      <c r="E256" s="69"/>
    </row>
    <row r="257" spans="1:5" ht="14.25" customHeight="1" x14ac:dyDescent="0.2">
      <c r="A257" s="68"/>
      <c r="B257" s="73"/>
      <c r="C257" s="73"/>
      <c r="D257" s="73"/>
      <c r="E257" s="69"/>
    </row>
    <row r="258" spans="1:5" ht="14.25" customHeight="1" x14ac:dyDescent="0.2">
      <c r="A258" s="68"/>
      <c r="B258" s="73"/>
      <c r="C258" s="73"/>
      <c r="D258" s="73"/>
      <c r="E258" s="69"/>
    </row>
    <row r="259" spans="1:5" ht="14.25" customHeight="1" x14ac:dyDescent="0.2">
      <c r="A259" s="68"/>
      <c r="B259" s="73"/>
      <c r="C259" s="73"/>
      <c r="D259" s="73"/>
      <c r="E259" s="69"/>
    </row>
    <row r="260" spans="1:5" ht="14.25" customHeight="1" x14ac:dyDescent="0.2">
      <c r="A260" s="68"/>
      <c r="B260" s="73"/>
      <c r="C260" s="73"/>
      <c r="D260" s="73"/>
      <c r="E260" s="69"/>
    </row>
    <row r="261" spans="1:5" ht="14.25" customHeight="1" x14ac:dyDescent="0.2">
      <c r="A261" s="68"/>
      <c r="B261" s="73"/>
      <c r="C261" s="73"/>
      <c r="D261" s="73"/>
      <c r="E261" s="69"/>
    </row>
    <row r="262" spans="1:5" ht="14.25" customHeight="1" x14ac:dyDescent="0.2">
      <c r="A262" s="68"/>
      <c r="B262" s="73"/>
      <c r="C262" s="73"/>
      <c r="D262" s="73"/>
      <c r="E262" s="69"/>
    </row>
    <row r="263" spans="1:5" ht="14.25" customHeight="1" x14ac:dyDescent="0.2">
      <c r="A263" s="68"/>
      <c r="B263" s="73"/>
      <c r="C263" s="73"/>
      <c r="D263" s="73"/>
      <c r="E263" s="69"/>
    </row>
    <row r="264" spans="1:5" ht="14.25" customHeight="1" x14ac:dyDescent="0.2">
      <c r="A264" s="68"/>
      <c r="B264" s="73"/>
      <c r="C264" s="73"/>
      <c r="D264" s="73"/>
      <c r="E264" s="69"/>
    </row>
    <row r="265" spans="1:5" ht="14.25" customHeight="1" x14ac:dyDescent="0.2">
      <c r="A265" s="68"/>
      <c r="B265" s="73"/>
      <c r="C265" s="73"/>
      <c r="D265" s="73"/>
      <c r="E265" s="69"/>
    </row>
    <row r="266" spans="1:5" ht="14.25" customHeight="1" x14ac:dyDescent="0.2">
      <c r="A266" s="68"/>
      <c r="B266" s="73"/>
      <c r="C266" s="73"/>
      <c r="D266" s="73"/>
      <c r="E266" s="69"/>
    </row>
    <row r="267" spans="1:5" ht="14.25" customHeight="1" x14ac:dyDescent="0.2">
      <c r="A267" s="68"/>
      <c r="B267" s="73"/>
      <c r="C267" s="73"/>
      <c r="D267" s="73"/>
      <c r="E267" s="69"/>
    </row>
    <row r="268" spans="1:5" ht="14.25" customHeight="1" x14ac:dyDescent="0.2">
      <c r="A268" s="68"/>
      <c r="B268" s="73"/>
      <c r="C268" s="73"/>
      <c r="D268" s="73"/>
      <c r="E268" s="69"/>
    </row>
    <row r="269" spans="1:5" ht="14.25" customHeight="1" x14ac:dyDescent="0.2">
      <c r="A269" s="68"/>
      <c r="B269" s="73"/>
      <c r="C269" s="73"/>
      <c r="D269" s="73"/>
      <c r="E269" s="69"/>
    </row>
    <row r="270" spans="1:5" ht="14.25" customHeight="1" x14ac:dyDescent="0.2">
      <c r="A270" s="68"/>
      <c r="B270" s="73"/>
      <c r="C270" s="73"/>
      <c r="D270" s="73"/>
      <c r="E270" s="69"/>
    </row>
    <row r="271" spans="1:5" ht="14.25" customHeight="1" x14ac:dyDescent="0.2">
      <c r="A271" s="68"/>
      <c r="B271" s="73"/>
      <c r="C271" s="73"/>
      <c r="D271" s="73"/>
      <c r="E271" s="69"/>
    </row>
    <row r="272" spans="1:5" ht="14.25" customHeight="1" x14ac:dyDescent="0.2">
      <c r="A272" s="68"/>
      <c r="B272" s="73"/>
      <c r="C272" s="73"/>
      <c r="D272" s="73"/>
      <c r="E272" s="69"/>
    </row>
    <row r="273" spans="1:5" ht="14.25" customHeight="1" x14ac:dyDescent="0.2">
      <c r="A273" s="68"/>
      <c r="B273" s="73"/>
      <c r="C273" s="73"/>
      <c r="D273" s="73"/>
      <c r="E273" s="69"/>
    </row>
    <row r="274" spans="1:5" ht="14.25" customHeight="1" x14ac:dyDescent="0.2">
      <c r="A274" s="68"/>
      <c r="B274" s="73"/>
      <c r="C274" s="73"/>
      <c r="D274" s="73"/>
      <c r="E274" s="69"/>
    </row>
    <row r="275" spans="1:5" ht="14.25" customHeight="1" x14ac:dyDescent="0.2">
      <c r="A275" s="68"/>
      <c r="B275" s="73"/>
      <c r="C275" s="73"/>
      <c r="D275" s="73"/>
      <c r="E275" s="69"/>
    </row>
    <row r="276" spans="1:5" ht="14.25" customHeight="1" x14ac:dyDescent="0.2">
      <c r="A276" s="68"/>
      <c r="B276" s="73"/>
      <c r="C276" s="73"/>
      <c r="D276" s="73"/>
      <c r="E276" s="69"/>
    </row>
    <row r="277" spans="1:5" ht="14.25" customHeight="1" x14ac:dyDescent="0.2">
      <c r="A277" s="68"/>
      <c r="B277" s="73"/>
      <c r="C277" s="73"/>
      <c r="D277" s="73"/>
      <c r="E277" s="69"/>
    </row>
    <row r="278" spans="1:5" ht="14.25" customHeight="1" x14ac:dyDescent="0.2">
      <c r="A278" s="68"/>
      <c r="B278" s="73"/>
      <c r="C278" s="73"/>
      <c r="D278" s="73"/>
      <c r="E278" s="69"/>
    </row>
    <row r="279" spans="1:5" ht="14.25" customHeight="1" x14ac:dyDescent="0.2">
      <c r="A279" s="68"/>
      <c r="B279" s="73"/>
      <c r="C279" s="73"/>
      <c r="D279" s="73"/>
      <c r="E279" s="69"/>
    </row>
    <row r="280" spans="1:5" ht="14.25" customHeight="1" x14ac:dyDescent="0.2">
      <c r="A280" s="68"/>
      <c r="B280" s="73"/>
      <c r="C280" s="73"/>
      <c r="D280" s="73"/>
      <c r="E280" s="69"/>
    </row>
    <row r="281" spans="1:5" ht="14.25" customHeight="1" x14ac:dyDescent="0.2">
      <c r="A281" s="68"/>
      <c r="B281" s="73"/>
      <c r="C281" s="73"/>
      <c r="D281" s="73"/>
      <c r="E281" s="69"/>
    </row>
    <row r="282" spans="1:5" ht="14.25" customHeight="1" x14ac:dyDescent="0.2">
      <c r="A282" s="68"/>
      <c r="B282" s="73"/>
      <c r="C282" s="73"/>
      <c r="D282" s="73"/>
      <c r="E282" s="69"/>
    </row>
    <row r="283" spans="1:5" ht="14.25" customHeight="1" x14ac:dyDescent="0.2">
      <c r="A283" s="68"/>
      <c r="B283" s="73"/>
      <c r="C283" s="73"/>
      <c r="D283" s="73"/>
      <c r="E283" s="69"/>
    </row>
    <row r="284" spans="1:5" ht="14.25" customHeight="1" x14ac:dyDescent="0.2">
      <c r="A284" s="68"/>
      <c r="B284" s="73"/>
      <c r="C284" s="73"/>
      <c r="D284" s="73"/>
      <c r="E284" s="69"/>
    </row>
    <row r="285" spans="1:5" ht="14.25" customHeight="1" x14ac:dyDescent="0.2">
      <c r="A285" s="68"/>
      <c r="B285" s="73"/>
      <c r="C285" s="73"/>
      <c r="D285" s="73"/>
      <c r="E285" s="69"/>
    </row>
    <row r="286" spans="1:5" ht="14.25" customHeight="1" x14ac:dyDescent="0.2">
      <c r="A286" s="68"/>
      <c r="B286" s="73"/>
      <c r="C286" s="73"/>
      <c r="D286" s="73"/>
      <c r="E286" s="69"/>
    </row>
    <row r="287" spans="1:5" ht="14.25" customHeight="1" x14ac:dyDescent="0.2">
      <c r="A287" s="68"/>
      <c r="B287" s="73"/>
      <c r="C287" s="73"/>
      <c r="D287" s="73"/>
      <c r="E287" s="69"/>
    </row>
    <row r="288" spans="1:5" ht="14.25" customHeight="1" x14ac:dyDescent="0.2">
      <c r="A288" s="68"/>
      <c r="B288" s="73"/>
      <c r="C288" s="73"/>
      <c r="D288" s="73"/>
      <c r="E288" s="69"/>
    </row>
    <row r="289" spans="1:5" ht="14.25" customHeight="1" x14ac:dyDescent="0.2">
      <c r="A289" s="68"/>
      <c r="B289" s="73"/>
      <c r="C289" s="73"/>
      <c r="D289" s="73"/>
      <c r="E289" s="69"/>
    </row>
    <row r="290" spans="1:5" ht="14.25" customHeight="1" x14ac:dyDescent="0.2">
      <c r="A290" s="68"/>
      <c r="B290" s="73"/>
      <c r="C290" s="73"/>
      <c r="D290" s="73"/>
      <c r="E290" s="69"/>
    </row>
    <row r="291" spans="1:5" ht="14.25" customHeight="1" x14ac:dyDescent="0.2">
      <c r="A291" s="68"/>
      <c r="B291" s="73"/>
      <c r="C291" s="73"/>
      <c r="D291" s="73"/>
      <c r="E291" s="69"/>
    </row>
    <row r="292" spans="1:5" ht="14.25" customHeight="1" x14ac:dyDescent="0.2">
      <c r="A292" s="68"/>
      <c r="B292" s="73"/>
      <c r="C292" s="73"/>
      <c r="D292" s="73"/>
      <c r="E292" s="69"/>
    </row>
    <row r="293" spans="1:5" ht="14.25" customHeight="1" x14ac:dyDescent="0.2">
      <c r="A293" s="68"/>
      <c r="B293" s="73"/>
      <c r="C293" s="73"/>
      <c r="D293" s="73"/>
      <c r="E293" s="69"/>
    </row>
    <row r="294" spans="1:5" ht="14.25" customHeight="1" x14ac:dyDescent="0.2">
      <c r="A294" s="68"/>
      <c r="B294" s="73"/>
      <c r="C294" s="73"/>
      <c r="D294" s="73"/>
      <c r="E294" s="69"/>
    </row>
    <row r="295" spans="1:5" ht="14.25" customHeight="1" x14ac:dyDescent="0.2">
      <c r="A295" s="68"/>
      <c r="B295" s="73"/>
      <c r="C295" s="73"/>
      <c r="D295" s="73"/>
      <c r="E295" s="69"/>
    </row>
    <row r="296" spans="1:5" ht="14.25" customHeight="1" x14ac:dyDescent="0.2">
      <c r="A296" s="68"/>
      <c r="B296" s="73"/>
      <c r="C296" s="73"/>
      <c r="D296" s="73"/>
      <c r="E296" s="69"/>
    </row>
    <row r="297" spans="1:5" ht="14.25" customHeight="1" x14ac:dyDescent="0.2">
      <c r="A297" s="68"/>
      <c r="B297" s="73"/>
      <c r="C297" s="73"/>
      <c r="D297" s="73"/>
      <c r="E297" s="69"/>
    </row>
    <row r="298" spans="1:5" ht="14.25" customHeight="1" x14ac:dyDescent="0.2">
      <c r="A298" s="68"/>
      <c r="B298" s="73"/>
      <c r="C298" s="73"/>
      <c r="D298" s="73"/>
      <c r="E298" s="69"/>
    </row>
    <row r="299" spans="1:5" ht="14.25" customHeight="1" x14ac:dyDescent="0.2">
      <c r="A299" s="68"/>
      <c r="B299" s="73"/>
      <c r="C299" s="73"/>
      <c r="D299" s="73"/>
      <c r="E299" s="69"/>
    </row>
    <row r="300" spans="1:5" ht="14.25" customHeight="1" x14ac:dyDescent="0.2">
      <c r="A300" s="68"/>
      <c r="B300" s="73"/>
      <c r="C300" s="73"/>
      <c r="D300" s="73"/>
      <c r="E300" s="69"/>
    </row>
    <row r="301" spans="1:5" ht="14.25" customHeight="1" x14ac:dyDescent="0.2">
      <c r="A301" s="68"/>
      <c r="B301" s="73"/>
      <c r="C301" s="73"/>
      <c r="D301" s="73"/>
      <c r="E301" s="69"/>
    </row>
    <row r="302" spans="1:5" ht="14.25" customHeight="1" x14ac:dyDescent="0.2">
      <c r="A302" s="68"/>
      <c r="B302" s="73"/>
      <c r="C302" s="73"/>
      <c r="D302" s="73"/>
      <c r="E302" s="69"/>
    </row>
    <row r="303" spans="1:5" ht="14.25" customHeight="1" x14ac:dyDescent="0.2">
      <c r="A303" s="68"/>
      <c r="B303" s="73"/>
      <c r="C303" s="73"/>
      <c r="D303" s="73"/>
      <c r="E303" s="69"/>
    </row>
    <row r="304" spans="1:5" ht="14.25" customHeight="1" x14ac:dyDescent="0.2">
      <c r="A304" s="68"/>
      <c r="B304" s="73"/>
      <c r="C304" s="73"/>
      <c r="D304" s="73"/>
      <c r="E304" s="69"/>
    </row>
    <row r="305" spans="1:5" ht="14.25" customHeight="1" x14ac:dyDescent="0.2">
      <c r="A305" s="68"/>
      <c r="B305" s="73"/>
      <c r="C305" s="73"/>
      <c r="D305" s="73"/>
      <c r="E305" s="69"/>
    </row>
    <row r="306" spans="1:5" ht="14.25" customHeight="1" x14ac:dyDescent="0.2">
      <c r="A306" s="68"/>
      <c r="B306" s="73"/>
      <c r="C306" s="73"/>
      <c r="D306" s="73"/>
      <c r="E306" s="69"/>
    </row>
    <row r="307" spans="1:5" ht="14.25" customHeight="1" x14ac:dyDescent="0.2">
      <c r="A307" s="68"/>
      <c r="B307" s="73"/>
      <c r="C307" s="73"/>
      <c r="D307" s="73"/>
      <c r="E307" s="69"/>
    </row>
    <row r="308" spans="1:5" ht="14.25" customHeight="1" x14ac:dyDescent="0.2">
      <c r="A308" s="68"/>
      <c r="B308" s="73"/>
      <c r="C308" s="73"/>
      <c r="D308" s="73"/>
      <c r="E308" s="69"/>
    </row>
    <row r="309" spans="1:5" ht="14.25" customHeight="1" x14ac:dyDescent="0.2">
      <c r="A309" s="68"/>
      <c r="B309" s="73"/>
      <c r="C309" s="73"/>
      <c r="D309" s="73"/>
      <c r="E309" s="69"/>
    </row>
    <row r="310" spans="1:5" ht="14.25" customHeight="1" x14ac:dyDescent="0.2">
      <c r="A310" s="68"/>
      <c r="B310" s="73"/>
      <c r="C310" s="73"/>
      <c r="D310" s="73"/>
      <c r="E310" s="69"/>
    </row>
    <row r="311" spans="1:5" ht="14.25" customHeight="1" x14ac:dyDescent="0.2">
      <c r="A311" s="68"/>
      <c r="B311" s="73"/>
      <c r="C311" s="73"/>
      <c r="D311" s="73"/>
      <c r="E311" s="69"/>
    </row>
    <row r="312" spans="1:5" ht="14.25" customHeight="1" x14ac:dyDescent="0.2">
      <c r="A312" s="68"/>
      <c r="B312" s="73"/>
      <c r="C312" s="73"/>
      <c r="D312" s="73"/>
      <c r="E312" s="69"/>
    </row>
    <row r="313" spans="1:5" ht="14.25" customHeight="1" x14ac:dyDescent="0.2">
      <c r="A313" s="68"/>
      <c r="B313" s="73"/>
      <c r="C313" s="73"/>
      <c r="D313" s="73"/>
      <c r="E313" s="69"/>
    </row>
    <row r="314" spans="1:5" ht="14.25" customHeight="1" x14ac:dyDescent="0.2">
      <c r="A314" s="68"/>
      <c r="B314" s="73"/>
      <c r="C314" s="73"/>
      <c r="D314" s="73"/>
      <c r="E314" s="69"/>
    </row>
    <row r="315" spans="1:5" ht="14.25" customHeight="1" x14ac:dyDescent="0.2">
      <c r="A315" s="68"/>
      <c r="B315" s="73"/>
      <c r="C315" s="73"/>
      <c r="D315" s="73"/>
      <c r="E315" s="69"/>
    </row>
    <row r="316" spans="1:5" ht="14.25" customHeight="1" x14ac:dyDescent="0.2">
      <c r="A316" s="68"/>
      <c r="B316" s="73"/>
      <c r="C316" s="73"/>
      <c r="D316" s="73"/>
      <c r="E316" s="69"/>
    </row>
    <row r="317" spans="1:5" ht="14.25" customHeight="1" x14ac:dyDescent="0.2">
      <c r="A317" s="68"/>
      <c r="B317" s="73"/>
      <c r="C317" s="73"/>
      <c r="D317" s="73"/>
      <c r="E317" s="69"/>
    </row>
    <row r="318" spans="1:5" ht="14.25" customHeight="1" x14ac:dyDescent="0.2">
      <c r="A318" s="68"/>
      <c r="B318" s="73"/>
      <c r="C318" s="73"/>
      <c r="D318" s="73"/>
      <c r="E318" s="69"/>
    </row>
    <row r="319" spans="1:5" ht="14.25" customHeight="1" x14ac:dyDescent="0.2">
      <c r="A319" s="68"/>
      <c r="B319" s="73"/>
      <c r="C319" s="73"/>
      <c r="D319" s="73"/>
      <c r="E319" s="69"/>
    </row>
    <row r="320" spans="1:5" ht="14.25" customHeight="1" x14ac:dyDescent="0.2">
      <c r="A320" s="68"/>
      <c r="B320" s="73"/>
      <c r="C320" s="73"/>
      <c r="D320" s="73"/>
      <c r="E320" s="69"/>
    </row>
    <row r="321" spans="1:5" ht="14.25" customHeight="1" x14ac:dyDescent="0.2">
      <c r="A321" s="68"/>
      <c r="B321" s="73"/>
      <c r="C321" s="73"/>
      <c r="D321" s="73"/>
      <c r="E321" s="69"/>
    </row>
    <row r="322" spans="1:5" ht="14.25" customHeight="1" x14ac:dyDescent="0.2">
      <c r="A322" s="68"/>
      <c r="B322" s="73"/>
      <c r="C322" s="73"/>
      <c r="D322" s="73"/>
      <c r="E322" s="69"/>
    </row>
    <row r="323" spans="1:5" ht="14.25" customHeight="1" x14ac:dyDescent="0.2">
      <c r="A323" s="68"/>
      <c r="B323" s="73"/>
      <c r="C323" s="73"/>
      <c r="D323" s="73"/>
      <c r="E323" s="69"/>
    </row>
    <row r="324" spans="1:5" ht="14.25" customHeight="1" x14ac:dyDescent="0.2">
      <c r="A324" s="68"/>
      <c r="B324" s="73"/>
      <c r="C324" s="73"/>
      <c r="D324" s="73"/>
      <c r="E324" s="69"/>
    </row>
    <row r="325" spans="1:5" ht="14.25" customHeight="1" x14ac:dyDescent="0.2">
      <c r="A325" s="68"/>
      <c r="B325" s="73"/>
      <c r="C325" s="73"/>
      <c r="D325" s="73"/>
      <c r="E325" s="69"/>
    </row>
    <row r="326" spans="1:5" ht="14.25" customHeight="1" x14ac:dyDescent="0.2">
      <c r="A326" s="68"/>
      <c r="B326" s="73"/>
      <c r="C326" s="73"/>
      <c r="D326" s="73"/>
      <c r="E326" s="69"/>
    </row>
    <row r="327" spans="1:5" ht="14.25" customHeight="1" x14ac:dyDescent="0.2">
      <c r="A327" s="68"/>
      <c r="B327" s="73"/>
      <c r="C327" s="73"/>
      <c r="D327" s="73"/>
      <c r="E327" s="69"/>
    </row>
    <row r="328" spans="1:5" ht="14.25" customHeight="1" x14ac:dyDescent="0.2">
      <c r="A328" s="68"/>
      <c r="B328" s="73"/>
      <c r="C328" s="73"/>
      <c r="D328" s="73"/>
      <c r="E328" s="69"/>
    </row>
    <row r="329" spans="1:5" ht="14.25" customHeight="1" x14ac:dyDescent="0.2">
      <c r="A329" s="68"/>
      <c r="B329" s="73"/>
      <c r="C329" s="73"/>
      <c r="D329" s="73"/>
      <c r="E329" s="69"/>
    </row>
    <row r="330" spans="1:5" ht="14.25" customHeight="1" x14ac:dyDescent="0.2">
      <c r="A330" s="68"/>
      <c r="B330" s="73"/>
      <c r="C330" s="73"/>
      <c r="D330" s="73"/>
      <c r="E330" s="69"/>
    </row>
    <row r="331" spans="1:5" ht="14.25" customHeight="1" x14ac:dyDescent="0.2">
      <c r="A331" s="68"/>
      <c r="B331" s="73"/>
      <c r="C331" s="73"/>
      <c r="D331" s="73"/>
      <c r="E331" s="69"/>
    </row>
    <row r="332" spans="1:5" ht="14.25" customHeight="1" x14ac:dyDescent="0.2">
      <c r="A332" s="68"/>
      <c r="B332" s="73"/>
      <c r="C332" s="73"/>
      <c r="D332" s="73"/>
      <c r="E332" s="69"/>
    </row>
    <row r="333" spans="1:5" ht="14.25" customHeight="1" x14ac:dyDescent="0.2">
      <c r="A333" s="68"/>
      <c r="B333" s="73"/>
      <c r="C333" s="73"/>
      <c r="D333" s="73"/>
      <c r="E333" s="69"/>
    </row>
    <row r="334" spans="1:5" ht="14.25" customHeight="1" x14ac:dyDescent="0.2">
      <c r="A334" s="68"/>
      <c r="B334" s="73"/>
      <c r="C334" s="73"/>
      <c r="D334" s="73"/>
      <c r="E334" s="69"/>
    </row>
    <row r="335" spans="1:5" ht="14.25" customHeight="1" x14ac:dyDescent="0.2">
      <c r="A335" s="68"/>
      <c r="B335" s="73"/>
      <c r="C335" s="73"/>
      <c r="D335" s="73"/>
      <c r="E335" s="69"/>
    </row>
    <row r="336" spans="1:5" ht="14.25" customHeight="1" x14ac:dyDescent="0.2">
      <c r="A336" s="68"/>
      <c r="B336" s="73"/>
      <c r="C336" s="73"/>
      <c r="D336" s="73"/>
      <c r="E336" s="69"/>
    </row>
    <row r="337" spans="1:5" ht="14.25" customHeight="1" x14ac:dyDescent="0.2">
      <c r="A337" s="68"/>
      <c r="B337" s="73"/>
      <c r="C337" s="73"/>
      <c r="D337" s="73"/>
      <c r="E337" s="69"/>
    </row>
    <row r="338" spans="1:5" ht="14.25" customHeight="1" x14ac:dyDescent="0.2">
      <c r="A338" s="68"/>
      <c r="B338" s="73"/>
      <c r="C338" s="73"/>
      <c r="D338" s="73"/>
      <c r="E338" s="69"/>
    </row>
    <row r="339" spans="1:5" ht="14.25" customHeight="1" x14ac:dyDescent="0.2">
      <c r="A339" s="68"/>
      <c r="B339" s="73"/>
      <c r="C339" s="73"/>
      <c r="D339" s="73"/>
      <c r="E339" s="69"/>
    </row>
    <row r="340" spans="1:5" ht="14.25" customHeight="1" x14ac:dyDescent="0.2">
      <c r="A340" s="68"/>
      <c r="B340" s="73"/>
      <c r="C340" s="73"/>
      <c r="D340" s="73"/>
      <c r="E340" s="69"/>
    </row>
    <row r="341" spans="1:5" ht="14.25" customHeight="1" x14ac:dyDescent="0.2">
      <c r="A341" s="68"/>
      <c r="B341" s="73"/>
      <c r="C341" s="73"/>
      <c r="D341" s="73"/>
      <c r="E341" s="69"/>
    </row>
    <row r="342" spans="1:5" ht="14.25" customHeight="1" x14ac:dyDescent="0.2">
      <c r="A342" s="68"/>
      <c r="B342" s="73"/>
      <c r="C342" s="73"/>
      <c r="D342" s="73"/>
      <c r="E342" s="69"/>
    </row>
    <row r="343" spans="1:5" ht="14.25" customHeight="1" x14ac:dyDescent="0.2">
      <c r="A343" s="68"/>
      <c r="B343" s="73"/>
      <c r="C343" s="73"/>
      <c r="D343" s="73"/>
      <c r="E343" s="69"/>
    </row>
    <row r="344" spans="1:5" ht="14.25" customHeight="1" x14ac:dyDescent="0.2">
      <c r="A344" s="68"/>
      <c r="B344" s="73"/>
      <c r="C344" s="73"/>
      <c r="D344" s="73"/>
      <c r="E344" s="69"/>
    </row>
    <row r="345" spans="1:5" ht="14.25" customHeight="1" x14ac:dyDescent="0.2">
      <c r="A345" s="68"/>
      <c r="B345" s="73"/>
      <c r="C345" s="73"/>
      <c r="D345" s="73"/>
      <c r="E345" s="69"/>
    </row>
    <row r="346" spans="1:5" ht="14.25" customHeight="1" x14ac:dyDescent="0.2">
      <c r="A346" s="68"/>
      <c r="B346" s="73"/>
      <c r="C346" s="73"/>
      <c r="D346" s="73"/>
      <c r="E346" s="69"/>
    </row>
    <row r="347" spans="1:5" ht="14.25" customHeight="1" x14ac:dyDescent="0.2">
      <c r="A347" s="68"/>
      <c r="B347" s="73"/>
      <c r="C347" s="73"/>
      <c r="D347" s="73"/>
      <c r="E347" s="69"/>
    </row>
    <row r="348" spans="1:5" ht="14.25" customHeight="1" x14ac:dyDescent="0.2">
      <c r="A348" s="68"/>
      <c r="B348" s="73"/>
      <c r="C348" s="73"/>
      <c r="D348" s="73"/>
      <c r="E348" s="69"/>
    </row>
    <row r="349" spans="1:5" ht="14.25" customHeight="1" x14ac:dyDescent="0.2">
      <c r="A349" s="68"/>
      <c r="B349" s="73"/>
      <c r="C349" s="73"/>
      <c r="D349" s="73"/>
      <c r="E349" s="69"/>
    </row>
    <row r="350" spans="1:5" ht="14.25" customHeight="1" x14ac:dyDescent="0.2">
      <c r="A350" s="68"/>
      <c r="B350" s="73"/>
      <c r="C350" s="73"/>
      <c r="D350" s="73"/>
      <c r="E350" s="69"/>
    </row>
    <row r="351" spans="1:5" ht="14.25" customHeight="1" x14ac:dyDescent="0.2">
      <c r="A351" s="68"/>
      <c r="B351" s="73"/>
      <c r="C351" s="73"/>
      <c r="D351" s="73"/>
      <c r="E351" s="69"/>
    </row>
    <row r="352" spans="1:5" ht="14.25" customHeight="1" x14ac:dyDescent="0.2">
      <c r="A352" s="68"/>
      <c r="B352" s="73"/>
      <c r="C352" s="73"/>
      <c r="D352" s="73"/>
      <c r="E352" s="69"/>
    </row>
    <row r="353" spans="1:5" ht="14.25" customHeight="1" x14ac:dyDescent="0.2">
      <c r="A353" s="68"/>
      <c r="B353" s="73"/>
      <c r="C353" s="73"/>
      <c r="D353" s="73"/>
      <c r="E353" s="69"/>
    </row>
    <row r="354" spans="1:5" ht="14.25" customHeight="1" x14ac:dyDescent="0.2">
      <c r="A354" s="68"/>
      <c r="B354" s="73"/>
      <c r="C354" s="73"/>
      <c r="D354" s="73"/>
      <c r="E354" s="69"/>
    </row>
    <row r="355" spans="1:5" ht="14.25" customHeight="1" x14ac:dyDescent="0.2">
      <c r="A355" s="68"/>
      <c r="B355" s="73"/>
      <c r="C355" s="73"/>
      <c r="D355" s="73"/>
      <c r="E355" s="69"/>
    </row>
    <row r="356" spans="1:5" ht="14.25" customHeight="1" x14ac:dyDescent="0.2">
      <c r="A356" s="68"/>
      <c r="B356" s="73"/>
      <c r="C356" s="73"/>
      <c r="D356" s="73"/>
      <c r="E356" s="69"/>
    </row>
    <row r="357" spans="1:5" ht="14.25" customHeight="1" x14ac:dyDescent="0.2">
      <c r="A357" s="68"/>
      <c r="B357" s="73"/>
      <c r="C357" s="73"/>
      <c r="D357" s="73"/>
      <c r="E357" s="69"/>
    </row>
    <row r="358" spans="1:5" ht="14.25" customHeight="1" x14ac:dyDescent="0.2">
      <c r="A358" s="68"/>
      <c r="B358" s="73"/>
      <c r="C358" s="73"/>
      <c r="D358" s="73"/>
      <c r="E358" s="69"/>
    </row>
    <row r="359" spans="1:5" ht="14.25" customHeight="1" x14ac:dyDescent="0.2">
      <c r="A359" s="68"/>
      <c r="B359" s="73"/>
      <c r="C359" s="73"/>
      <c r="D359" s="73"/>
      <c r="E359" s="69"/>
    </row>
    <row r="360" spans="1:5" ht="14.25" customHeight="1" x14ac:dyDescent="0.2">
      <c r="A360" s="68"/>
      <c r="B360" s="73"/>
      <c r="C360" s="73"/>
      <c r="D360" s="73"/>
      <c r="E360" s="69"/>
    </row>
    <row r="361" spans="1:5" ht="14.25" customHeight="1" x14ac:dyDescent="0.2">
      <c r="A361" s="68"/>
      <c r="B361" s="73"/>
      <c r="C361" s="73"/>
      <c r="D361" s="73"/>
      <c r="E361" s="69"/>
    </row>
    <row r="362" spans="1:5" ht="14.25" customHeight="1" x14ac:dyDescent="0.2">
      <c r="A362" s="68"/>
      <c r="B362" s="73"/>
      <c r="C362" s="73"/>
      <c r="D362" s="73"/>
      <c r="E362" s="69"/>
    </row>
    <row r="363" spans="1:5" ht="14.25" customHeight="1" x14ac:dyDescent="0.2">
      <c r="A363" s="68"/>
      <c r="B363" s="73"/>
      <c r="C363" s="73"/>
      <c r="D363" s="73"/>
      <c r="E363" s="69"/>
    </row>
    <row r="364" spans="1:5" ht="14.25" customHeight="1" x14ac:dyDescent="0.2">
      <c r="A364" s="68"/>
      <c r="B364" s="73"/>
      <c r="C364" s="73"/>
      <c r="D364" s="73"/>
      <c r="E364" s="69"/>
    </row>
    <row r="365" spans="1:5" ht="14.25" customHeight="1" x14ac:dyDescent="0.2">
      <c r="A365" s="68"/>
      <c r="B365" s="73"/>
      <c r="C365" s="73"/>
      <c r="D365" s="73"/>
      <c r="E365" s="69"/>
    </row>
    <row r="366" spans="1:5" ht="14.25" customHeight="1" x14ac:dyDescent="0.2">
      <c r="A366" s="68"/>
      <c r="B366" s="73"/>
      <c r="C366" s="73"/>
      <c r="D366" s="73"/>
      <c r="E366" s="69"/>
    </row>
    <row r="367" spans="1:5" ht="14.25" customHeight="1" x14ac:dyDescent="0.2">
      <c r="A367" s="68"/>
      <c r="B367" s="73"/>
      <c r="C367" s="73"/>
      <c r="D367" s="73"/>
      <c r="E367" s="69"/>
    </row>
    <row r="368" spans="1:5" ht="14.25" customHeight="1" x14ac:dyDescent="0.2">
      <c r="A368" s="68"/>
      <c r="B368" s="73"/>
      <c r="C368" s="73"/>
      <c r="D368" s="73"/>
      <c r="E368" s="69"/>
    </row>
    <row r="369" spans="1:5" ht="14.25" customHeight="1" x14ac:dyDescent="0.2">
      <c r="A369" s="68"/>
      <c r="B369" s="73"/>
      <c r="C369" s="73"/>
      <c r="D369" s="73"/>
      <c r="E369" s="69"/>
    </row>
    <row r="370" spans="1:5" ht="14.25" customHeight="1" x14ac:dyDescent="0.2">
      <c r="A370" s="68"/>
      <c r="B370" s="73"/>
      <c r="C370" s="73"/>
      <c r="D370" s="73"/>
      <c r="E370" s="69"/>
    </row>
    <row r="371" spans="1:5" ht="14.25" customHeight="1" x14ac:dyDescent="0.2">
      <c r="A371" s="68"/>
      <c r="B371" s="73"/>
      <c r="C371" s="73"/>
      <c r="D371" s="73"/>
      <c r="E371" s="69"/>
    </row>
    <row r="372" spans="1:5" ht="14.25" customHeight="1" x14ac:dyDescent="0.2">
      <c r="A372" s="68"/>
      <c r="B372" s="73"/>
      <c r="C372" s="73"/>
      <c r="D372" s="73"/>
      <c r="E372" s="69"/>
    </row>
    <row r="373" spans="1:5" ht="14.25" customHeight="1" x14ac:dyDescent="0.2">
      <c r="A373" s="68"/>
      <c r="B373" s="73"/>
      <c r="C373" s="73"/>
      <c r="D373" s="73"/>
      <c r="E373" s="69"/>
    </row>
    <row r="374" spans="1:5" ht="14.25" customHeight="1" x14ac:dyDescent="0.2">
      <c r="A374" s="68"/>
      <c r="B374" s="73"/>
      <c r="C374" s="73"/>
      <c r="D374" s="73"/>
      <c r="E374" s="69"/>
    </row>
    <row r="375" spans="1:5" ht="14.25" customHeight="1" x14ac:dyDescent="0.2">
      <c r="A375" s="68"/>
    </row>
    <row r="376" spans="1:5" ht="14.25" customHeight="1" x14ac:dyDescent="0.2">
      <c r="A376" s="68"/>
    </row>
    <row r="377" spans="1:5" ht="14.25" customHeight="1" x14ac:dyDescent="0.2"/>
    <row r="378" spans="1:5" ht="14.25" customHeight="1" x14ac:dyDescent="0.2"/>
    <row r="379" spans="1:5" ht="14.25" customHeight="1" x14ac:dyDescent="0.2"/>
    <row r="380" spans="1:5" ht="14.25" customHeight="1" x14ac:dyDescent="0.2"/>
    <row r="381" spans="1:5" ht="14.25" customHeight="1" x14ac:dyDescent="0.2"/>
    <row r="382" spans="1:5" ht="14.25" customHeight="1" x14ac:dyDescent="0.2"/>
    <row r="383" spans="1:5" ht="14.25" customHeight="1" x14ac:dyDescent="0.2"/>
    <row r="384" spans="1:5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  <row r="1001" ht="14.25" customHeight="1" x14ac:dyDescent="0.2"/>
    <row r="1002" ht="14.25" customHeight="1" x14ac:dyDescent="0.2"/>
    <row r="1003" ht="14.25" customHeight="1" x14ac:dyDescent="0.2"/>
    <row r="1004" ht="14.25" customHeight="1" x14ac:dyDescent="0.2"/>
    <row r="1005" ht="14.25" customHeight="1" x14ac:dyDescent="0.2"/>
    <row r="1006" ht="14.25" customHeight="1" x14ac:dyDescent="0.2"/>
    <row r="1007" ht="14.25" customHeight="1" x14ac:dyDescent="0.2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9855D-EFA1-F74C-8F88-442DBE8DFDCF}">
  <dimension ref="B3:P61"/>
  <sheetViews>
    <sheetView topLeftCell="A35" workbookViewId="0">
      <selection activeCell="L55" sqref="L55"/>
    </sheetView>
  </sheetViews>
  <sheetFormatPr baseColWidth="10" defaultRowHeight="16" x14ac:dyDescent="0.2"/>
  <cols>
    <col min="2" max="2" width="33.5" customWidth="1"/>
    <col min="3" max="3" width="2.6640625" customWidth="1"/>
    <col min="4" max="4" width="14.1640625" style="42" customWidth="1"/>
    <col min="5" max="5" width="4.1640625" style="42" customWidth="1"/>
    <col min="6" max="6" width="14" style="42" customWidth="1"/>
    <col min="7" max="7" width="14.5" style="42" customWidth="1"/>
    <col min="8" max="8" width="14.6640625" style="42" customWidth="1"/>
    <col min="9" max="9" width="10.83203125" style="42"/>
    <col min="11" max="11" width="13" style="42" bestFit="1" customWidth="1"/>
    <col min="12" max="12" width="11.5" bestFit="1" customWidth="1"/>
    <col min="15" max="15" width="13" bestFit="1" customWidth="1"/>
  </cols>
  <sheetData>
    <row r="3" spans="2:8" ht="19" x14ac:dyDescent="0.35">
      <c r="D3" s="65" t="s">
        <v>109</v>
      </c>
      <c r="E3" s="65"/>
      <c r="F3" s="65" t="s">
        <v>110</v>
      </c>
    </row>
    <row r="5" spans="2:8" x14ac:dyDescent="0.2">
      <c r="B5" t="s">
        <v>2</v>
      </c>
      <c r="D5" s="42">
        <v>4110000</v>
      </c>
      <c r="F5" s="42">
        <f>+'Summary Sheet'!B14</f>
        <v>4315500.3674999997</v>
      </c>
      <c r="H5" s="42" t="s">
        <v>134</v>
      </c>
    </row>
    <row r="7" spans="2:8" x14ac:dyDescent="0.2">
      <c r="B7" t="s">
        <v>79</v>
      </c>
      <c r="D7" s="42">
        <v>5361440</v>
      </c>
      <c r="F7" s="42">
        <v>5361440</v>
      </c>
      <c r="H7" s="42" t="s">
        <v>135</v>
      </c>
    </row>
    <row r="9" spans="2:8" x14ac:dyDescent="0.2">
      <c r="B9" t="s">
        <v>80</v>
      </c>
      <c r="D9" s="42">
        <v>249956</v>
      </c>
      <c r="F9" s="42">
        <f>+'Summary Sheet'!B28+'Summary Sheet'!E28</f>
        <v>293785.15588057897</v>
      </c>
      <c r="H9" s="42" t="s">
        <v>108</v>
      </c>
    </row>
    <row r="11" spans="2:8" x14ac:dyDescent="0.2">
      <c r="B11" t="s">
        <v>81</v>
      </c>
      <c r="D11" s="42">
        <v>23415</v>
      </c>
      <c r="F11" s="42">
        <v>0</v>
      </c>
      <c r="H11" s="42" t="s">
        <v>101</v>
      </c>
    </row>
    <row r="13" spans="2:8" x14ac:dyDescent="0.2">
      <c r="B13" t="s">
        <v>83</v>
      </c>
      <c r="D13" s="42">
        <v>991528</v>
      </c>
      <c r="F13" s="42">
        <v>810415</v>
      </c>
      <c r="H13" s="42" t="s">
        <v>102</v>
      </c>
    </row>
    <row r="15" spans="2:8" x14ac:dyDescent="0.2">
      <c r="B15" t="s">
        <v>82</v>
      </c>
      <c r="D15" s="42">
        <v>1109727</v>
      </c>
      <c r="F15" s="42">
        <v>1109727</v>
      </c>
      <c r="H15" s="42" t="s">
        <v>107</v>
      </c>
    </row>
    <row r="17" spans="2:8" x14ac:dyDescent="0.2">
      <c r="B17" t="s">
        <v>84</v>
      </c>
      <c r="D17" s="42">
        <v>56147</v>
      </c>
      <c r="F17" s="42">
        <f>+'Summary Sheet'!B20+'Summary Sheet'!B22+'Summary Sheet'!E20+'Summary Sheet'!E22</f>
        <v>310000</v>
      </c>
      <c r="H17" s="42" t="s">
        <v>136</v>
      </c>
    </row>
    <row r="19" spans="2:8" x14ac:dyDescent="0.2">
      <c r="B19" t="s">
        <v>85</v>
      </c>
      <c r="D19" s="42">
        <v>911445</v>
      </c>
      <c r="F19" s="42">
        <f>+'Summary Sheet'!E10+'Summary Sheet'!E13</f>
        <v>2527460.2195638409</v>
      </c>
      <c r="H19" s="42" t="s">
        <v>137</v>
      </c>
    </row>
    <row r="21" spans="2:8" x14ac:dyDescent="0.2">
      <c r="B21" t="s">
        <v>132</v>
      </c>
      <c r="D21" s="47">
        <v>846493</v>
      </c>
      <c r="F21" s="47">
        <f>+'Summary Sheet'!E24+'Summary Sheet'!B24+'Summary Sheet'!B47+'Summary Sheet'!E47</f>
        <v>3312586.6494515361</v>
      </c>
      <c r="H21" s="42" t="s">
        <v>133</v>
      </c>
    </row>
    <row r="23" spans="2:8" x14ac:dyDescent="0.2">
      <c r="B23" t="s">
        <v>88</v>
      </c>
      <c r="D23" s="42">
        <f>SUM(D5:D21)</f>
        <v>13660151</v>
      </c>
      <c r="F23" s="42">
        <f>SUM(F5:F21)</f>
        <v>18040914.392395955</v>
      </c>
    </row>
    <row r="25" spans="2:8" x14ac:dyDescent="0.2">
      <c r="B25" t="s">
        <v>86</v>
      </c>
      <c r="D25" s="42">
        <v>-3084776</v>
      </c>
      <c r="F25" s="42">
        <f>+'Summary Sheet'!K32</f>
        <v>-3745760.7374773812</v>
      </c>
      <c r="H25" s="42" t="s">
        <v>111</v>
      </c>
    </row>
    <row r="27" spans="2:8" x14ac:dyDescent="0.2">
      <c r="B27" t="s">
        <v>87</v>
      </c>
      <c r="D27" s="47">
        <v>-3084776</v>
      </c>
      <c r="F27" s="47">
        <f>+'Summary Sheet'!K34</f>
        <v>-3165000</v>
      </c>
      <c r="H27" s="42" t="s">
        <v>103</v>
      </c>
    </row>
    <row r="29" spans="2:8" x14ac:dyDescent="0.2">
      <c r="B29" t="s">
        <v>89</v>
      </c>
      <c r="D29" s="47">
        <f>SUM(D23:D27)</f>
        <v>7490599</v>
      </c>
      <c r="F29" s="47">
        <f>SUM(F23:F27)</f>
        <v>11130153.654918574</v>
      </c>
    </row>
    <row r="32" spans="2:8" x14ac:dyDescent="0.2">
      <c r="B32" t="s">
        <v>90</v>
      </c>
      <c r="D32" s="42">
        <v>338482</v>
      </c>
      <c r="F32" s="42">
        <v>338482</v>
      </c>
      <c r="H32" s="42" t="s">
        <v>107</v>
      </c>
    </row>
    <row r="34" spans="2:16" x14ac:dyDescent="0.2">
      <c r="B34" t="s">
        <v>91</v>
      </c>
      <c r="D34" s="47">
        <f>+D54</f>
        <v>2157468.75</v>
      </c>
      <c r="F34" s="47">
        <f>+F54+F58</f>
        <v>3511552.8128875745</v>
      </c>
      <c r="H34" s="42" t="s">
        <v>106</v>
      </c>
      <c r="P34" s="42"/>
    </row>
    <row r="35" spans="2:16" x14ac:dyDescent="0.2">
      <c r="P35" s="42" t="s">
        <v>105</v>
      </c>
    </row>
    <row r="36" spans="2:16" x14ac:dyDescent="0.2">
      <c r="D36" s="47">
        <f>+D34+D32</f>
        <v>2495950.75</v>
      </c>
      <c r="F36" s="47">
        <f>+F32+F34</f>
        <v>3850034.8128875745</v>
      </c>
      <c r="P36" s="42"/>
    </row>
    <row r="37" spans="2:16" x14ac:dyDescent="0.2">
      <c r="P37" s="42"/>
    </row>
    <row r="38" spans="2:16" x14ac:dyDescent="0.2">
      <c r="B38" t="s">
        <v>92</v>
      </c>
      <c r="D38" s="42">
        <f>+D36+D29</f>
        <v>9986549.75</v>
      </c>
      <c r="F38" s="42">
        <f>+F36+F29</f>
        <v>14980188.467806149</v>
      </c>
      <c r="P38" s="42"/>
    </row>
    <row r="39" spans="2:16" x14ac:dyDescent="0.2">
      <c r="P39" s="42"/>
    </row>
    <row r="40" spans="2:16" x14ac:dyDescent="0.2">
      <c r="B40" t="s">
        <v>93</v>
      </c>
      <c r="D40" s="47">
        <v>621279</v>
      </c>
      <c r="F40" s="47">
        <f>+'Summary Sheet'!K43+'Summary Sheet'!K45</f>
        <v>621316</v>
      </c>
      <c r="H40" s="42" t="s">
        <v>107</v>
      </c>
      <c r="P40" s="42"/>
    </row>
    <row r="41" spans="2:16" x14ac:dyDescent="0.2">
      <c r="P41" s="42"/>
    </row>
    <row r="42" spans="2:16" ht="17" thickBot="1" x14ac:dyDescent="0.25">
      <c r="B42" t="s">
        <v>94</v>
      </c>
      <c r="D42" s="54">
        <f>+D40+D38</f>
        <v>10607828.75</v>
      </c>
      <c r="F42" s="54">
        <f>+F40+F38</f>
        <v>15601504.467806149</v>
      </c>
      <c r="P42" s="42"/>
    </row>
    <row r="43" spans="2:16" ht="17" thickTop="1" x14ac:dyDescent="0.2">
      <c r="D43" s="46"/>
      <c r="F43" s="46"/>
      <c r="P43" s="42"/>
    </row>
    <row r="44" spans="2:16" x14ac:dyDescent="0.2">
      <c r="D44" s="46"/>
      <c r="F44" s="46"/>
      <c r="P44" s="42"/>
    </row>
    <row r="45" spans="2:16" x14ac:dyDescent="0.2">
      <c r="P45" s="42"/>
    </row>
    <row r="46" spans="2:16" ht="19" x14ac:dyDescent="0.35">
      <c r="B46" s="64" t="s">
        <v>112</v>
      </c>
      <c r="E46"/>
      <c r="F46"/>
      <c r="G46"/>
      <c r="P46" s="42"/>
    </row>
    <row r="47" spans="2:16" ht="19" x14ac:dyDescent="0.35">
      <c r="B47" s="42"/>
      <c r="D47" s="52" t="s">
        <v>104</v>
      </c>
      <c r="F47" s="65" t="s">
        <v>110</v>
      </c>
      <c r="I47"/>
      <c r="J47" s="42"/>
      <c r="K47"/>
      <c r="O47" s="42"/>
    </row>
    <row r="48" spans="2:16" x14ac:dyDescent="0.2">
      <c r="B48" s="42" t="s">
        <v>95</v>
      </c>
      <c r="D48" s="42">
        <v>1725975</v>
      </c>
      <c r="F48" s="42">
        <f>+D48</f>
        <v>1725975</v>
      </c>
      <c r="I48"/>
      <c r="J48" s="42"/>
      <c r="L48" s="42"/>
      <c r="M48" s="42"/>
      <c r="N48" s="42"/>
      <c r="O48" s="42"/>
    </row>
    <row r="49" spans="2:15" x14ac:dyDescent="0.2">
      <c r="B49" s="42" t="s">
        <v>139</v>
      </c>
      <c r="D49" s="42">
        <f>+D48*0.17</f>
        <v>293415.75</v>
      </c>
      <c r="F49" s="42">
        <f>+'Summary Sheet'!H10+'Summary Sheet'!H13</f>
        <v>813649.53304740903</v>
      </c>
      <c r="I49"/>
      <c r="J49" s="42"/>
      <c r="L49" s="42"/>
      <c r="M49" s="42"/>
      <c r="N49" s="42"/>
      <c r="O49" s="42"/>
    </row>
    <row r="50" spans="2:15" x14ac:dyDescent="0.2">
      <c r="B50" s="42" t="s">
        <v>96</v>
      </c>
      <c r="D50" s="42">
        <v>0</v>
      </c>
      <c r="F50" s="42">
        <f>+'Summary Sheet'!H20</f>
        <v>25000</v>
      </c>
      <c r="I50"/>
      <c r="J50" s="42"/>
      <c r="L50" s="42"/>
      <c r="M50" s="42"/>
    </row>
    <row r="51" spans="2:15" x14ac:dyDescent="0.2">
      <c r="B51" s="42" t="s">
        <v>97</v>
      </c>
      <c r="D51" s="42">
        <v>0</v>
      </c>
      <c r="F51" s="42">
        <f>+'Summary Sheet'!H22</f>
        <v>25000</v>
      </c>
      <c r="I51"/>
      <c r="J51" s="42"/>
      <c r="L51" s="42"/>
      <c r="M51" s="42"/>
    </row>
    <row r="52" spans="2:15" x14ac:dyDescent="0.2">
      <c r="B52" s="42" t="s">
        <v>98</v>
      </c>
      <c r="D52" s="42">
        <f>+D48*0.08</f>
        <v>138078</v>
      </c>
      <c r="F52" s="42">
        <f>+'Summary Sheet'!H24</f>
        <v>230248.5226437927</v>
      </c>
      <c r="I52"/>
      <c r="J52" s="42"/>
      <c r="L52" s="42"/>
      <c r="M52" s="42"/>
    </row>
    <row r="53" spans="2:15" x14ac:dyDescent="0.2">
      <c r="B53" s="42" t="s">
        <v>99</v>
      </c>
      <c r="D53" s="47">
        <v>0</v>
      </c>
      <c r="F53" s="47">
        <f>+'Summary Sheet'!H28</f>
        <v>189501.30334147208</v>
      </c>
      <c r="I53"/>
      <c r="J53" s="42"/>
      <c r="K53"/>
    </row>
    <row r="54" spans="2:15" x14ac:dyDescent="0.2">
      <c r="B54" s="42"/>
      <c r="D54" s="42">
        <f>SUM(D48:D53)</f>
        <v>2157468.75</v>
      </c>
      <c r="F54" s="42">
        <f>SUM(F48:F53)</f>
        <v>3009374.3590326738</v>
      </c>
      <c r="I54"/>
      <c r="J54" s="42"/>
      <c r="K54"/>
    </row>
    <row r="55" spans="2:15" x14ac:dyDescent="0.2">
      <c r="B55" s="42"/>
      <c r="I55"/>
      <c r="J55" s="42"/>
      <c r="K55"/>
    </row>
    <row r="56" spans="2:15" x14ac:dyDescent="0.2">
      <c r="B56" s="42" t="s">
        <v>100</v>
      </c>
      <c r="D56" s="42">
        <v>338482</v>
      </c>
      <c r="F56" s="42">
        <v>338482</v>
      </c>
      <c r="I56"/>
      <c r="J56" s="42"/>
      <c r="K56"/>
    </row>
    <row r="57" spans="2:15" ht="17" customHeight="1" x14ac:dyDescent="0.2">
      <c r="B57" s="42"/>
      <c r="I57"/>
      <c r="J57" s="42"/>
      <c r="K57"/>
    </row>
    <row r="58" spans="2:15" x14ac:dyDescent="0.2">
      <c r="B58" s="42" t="s">
        <v>138</v>
      </c>
      <c r="D58" s="47">
        <v>0</v>
      </c>
      <c r="F58" s="47">
        <f>+'Summary Sheet'!H47</f>
        <v>502178.45385490102</v>
      </c>
    </row>
    <row r="59" spans="2:15" x14ac:dyDescent="0.2">
      <c r="B59" s="42"/>
    </row>
    <row r="60" spans="2:15" ht="17" thickBot="1" x14ac:dyDescent="0.25">
      <c r="B60" s="42"/>
      <c r="D60" s="54">
        <f>SUM(D54:D58)</f>
        <v>2495950.75</v>
      </c>
      <c r="F60" s="54">
        <f>SUM(F54:F58)</f>
        <v>3850034.8128875745</v>
      </c>
    </row>
    <row r="61" spans="2:15" ht="17" thickTop="1" x14ac:dyDescent="0.2">
      <c r="C61" s="4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Summary Sheet</vt:lpstr>
      <vt:lpstr>Shared Bids</vt:lpstr>
      <vt:lpstr>Bid Escalation</vt:lpstr>
      <vt:lpstr>Costs on Shared</vt:lpstr>
      <vt:lpstr>Costs on Internal</vt:lpstr>
      <vt:lpstr>Operating Costs</vt:lpstr>
      <vt:lpstr>Financing Costs</vt:lpstr>
      <vt:lpstr>F&amp;O Comparison</vt:lpstr>
      <vt:lpstr>'Summary 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merritt</dc:creator>
  <cp:lastModifiedBy>Carolyn Cumello</cp:lastModifiedBy>
  <cp:lastPrinted>2025-04-29T14:26:33Z</cp:lastPrinted>
  <dcterms:created xsi:type="dcterms:W3CDTF">2025-04-24T17:33:12Z</dcterms:created>
  <dcterms:modified xsi:type="dcterms:W3CDTF">2025-05-11T13:51:38Z</dcterms:modified>
</cp:coreProperties>
</file>